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mingos Junqueira\Downloads\"/>
    </mc:Choice>
  </mc:AlternateContent>
  <bookViews>
    <workbookView xWindow="0" yWindow="600" windowWidth="26970" windowHeight="9780" activeTab="1"/>
  </bookViews>
  <sheets>
    <sheet name="Planilha2" sheetId="15" r:id="rId1"/>
    <sheet name="Comparativo mensal" sheetId="14" r:id="rId2"/>
    <sheet name="01-2016" sheetId="1" r:id="rId3"/>
    <sheet name="02-2016" sheetId="2" r:id="rId4"/>
    <sheet name="03-2016" sheetId="3" r:id="rId5"/>
    <sheet name="04-2016" sheetId="4" r:id="rId6"/>
    <sheet name="05-2016" sheetId="5" r:id="rId7"/>
    <sheet name="06-2016" sheetId="6" r:id="rId8"/>
    <sheet name="07-2016" sheetId="7" r:id="rId9"/>
    <sheet name="08-2016" sheetId="8" r:id="rId10"/>
    <sheet name="09-2016" sheetId="9" r:id="rId11"/>
    <sheet name="10-2016" sheetId="10" r:id="rId12"/>
    <sheet name="11-2016" sheetId="11" r:id="rId13"/>
    <sheet name="12-2016" sheetId="12" r:id="rId14"/>
    <sheet name="01-2017" sheetId="13" r:id="rId15"/>
  </sheets>
  <definedNames>
    <definedName name="TotMES">Planilha2!$A:$A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4" l="1"/>
  <c r="B1" i="14"/>
  <c r="A8" i="14"/>
  <c r="C4" i="14"/>
  <c r="C12" i="14"/>
  <c r="C14" i="14"/>
  <c r="C7" i="14"/>
  <c r="C16" i="14"/>
  <c r="C17" i="14"/>
  <c r="C5" i="14"/>
  <c r="C13" i="14"/>
  <c r="C6" i="14"/>
  <c r="C15" i="14"/>
  <c r="C9" i="14"/>
  <c r="C11" i="14"/>
  <c r="C8" i="14"/>
  <c r="C10" i="14"/>
  <c r="C3" i="14"/>
  <c r="B4" i="14"/>
  <c r="B12" i="14"/>
  <c r="B5" i="14"/>
  <c r="B13" i="14"/>
  <c r="B6" i="14"/>
  <c r="B14" i="14"/>
  <c r="B7" i="14"/>
  <c r="B15" i="14"/>
  <c r="B10" i="14"/>
  <c r="B8" i="14"/>
  <c r="B16" i="14"/>
  <c r="B9" i="14"/>
  <c r="B17" i="14"/>
  <c r="B11" i="14"/>
  <c r="B3" i="14"/>
  <c r="C21" i="1" l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B21" i="1"/>
  <c r="C22" i="14" l="1"/>
  <c r="B22" i="14"/>
  <c r="D18" i="14" l="1"/>
  <c r="AG26" i="13" l="1"/>
  <c r="AG25" i="13"/>
  <c r="AG24" i="13"/>
  <c r="AG18" i="13"/>
  <c r="AG17" i="13"/>
  <c r="AG16" i="13"/>
  <c r="AG15" i="13"/>
  <c r="AG14" i="13"/>
  <c r="AG13" i="13"/>
  <c r="AG12" i="13"/>
  <c r="AG11" i="13"/>
  <c r="AG10" i="13"/>
  <c r="AG9" i="13"/>
  <c r="AG8" i="13"/>
  <c r="AG7" i="13"/>
  <c r="AG6" i="13"/>
  <c r="AG5" i="13"/>
  <c r="AG4" i="13"/>
  <c r="AG3" i="13"/>
  <c r="AG26" i="12"/>
  <c r="AG25" i="12"/>
  <c r="AG24" i="12"/>
  <c r="AG27" i="12" s="1"/>
  <c r="X24" i="12"/>
  <c r="C24" i="12"/>
  <c r="AG18" i="12"/>
  <c r="AG17" i="12"/>
  <c r="AG16" i="12"/>
  <c r="AG15" i="12"/>
  <c r="AG14" i="12"/>
  <c r="AG13" i="12"/>
  <c r="AG12" i="12"/>
  <c r="AG11" i="12"/>
  <c r="AG10" i="12"/>
  <c r="AG9" i="12"/>
  <c r="AG8" i="12"/>
  <c r="AG7" i="12"/>
  <c r="AG6" i="12"/>
  <c r="AG5" i="12"/>
  <c r="AG4" i="12"/>
  <c r="AG3" i="12"/>
  <c r="AF26" i="11"/>
  <c r="AF25" i="11"/>
  <c r="X24" i="11"/>
  <c r="R24" i="11"/>
  <c r="D24" i="11"/>
  <c r="C24" i="11"/>
  <c r="AF24" i="11" s="1"/>
  <c r="AF18" i="11"/>
  <c r="AF17" i="11"/>
  <c r="AF16" i="11"/>
  <c r="AF15" i="11"/>
  <c r="AF14" i="11"/>
  <c r="AF13" i="11"/>
  <c r="AF12" i="11"/>
  <c r="AF11" i="11"/>
  <c r="AF10" i="11"/>
  <c r="W9" i="11"/>
  <c r="AF9" i="11" s="1"/>
  <c r="AF8" i="11"/>
  <c r="AF7" i="11"/>
  <c r="AF6" i="11"/>
  <c r="AF5" i="11"/>
  <c r="AF4" i="11"/>
  <c r="AF3" i="11"/>
  <c r="AG26" i="10"/>
  <c r="AG25" i="10"/>
  <c r="X24" i="10"/>
  <c r="S24" i="10"/>
  <c r="R24" i="10"/>
  <c r="P24" i="10"/>
  <c r="M24" i="10"/>
  <c r="L24" i="10"/>
  <c r="J24" i="10"/>
  <c r="G24" i="10"/>
  <c r="F24" i="10"/>
  <c r="D24" i="10"/>
  <c r="C24" i="10"/>
  <c r="AG18" i="10"/>
  <c r="AG17" i="10"/>
  <c r="AG16" i="10"/>
  <c r="AG15" i="10"/>
  <c r="AG14" i="10"/>
  <c r="AG13" i="10"/>
  <c r="AG12" i="10"/>
  <c r="AG11" i="10"/>
  <c r="AG10" i="10"/>
  <c r="W9" i="10"/>
  <c r="AG9" i="10" s="1"/>
  <c r="AG8" i="10"/>
  <c r="AG7" i="10"/>
  <c r="AG6" i="10"/>
  <c r="AG5" i="10"/>
  <c r="AG4" i="10"/>
  <c r="AG19" i="10" s="1"/>
  <c r="AG3" i="10"/>
  <c r="AF26" i="9"/>
  <c r="P25" i="9"/>
  <c r="O25" i="9"/>
  <c r="J25" i="9"/>
  <c r="B25" i="9"/>
  <c r="AD24" i="9"/>
  <c r="AC24" i="9"/>
  <c r="Z24" i="9"/>
  <c r="Y24" i="9"/>
  <c r="X24" i="9"/>
  <c r="V24" i="9"/>
  <c r="U24" i="9"/>
  <c r="R24" i="9"/>
  <c r="Q24" i="9"/>
  <c r="P24" i="9"/>
  <c r="M24" i="9"/>
  <c r="K24" i="9"/>
  <c r="J24" i="9"/>
  <c r="I24" i="9"/>
  <c r="H24" i="9"/>
  <c r="F24" i="9"/>
  <c r="E24" i="9"/>
  <c r="C24" i="9"/>
  <c r="AF18" i="9"/>
  <c r="Z17" i="9"/>
  <c r="T17" i="9"/>
  <c r="C17" i="9"/>
  <c r="AF16" i="9"/>
  <c r="AF15" i="9"/>
  <c r="AF14" i="9"/>
  <c r="W13" i="9"/>
  <c r="AF13" i="9" s="1"/>
  <c r="AF12" i="9"/>
  <c r="AF11" i="9"/>
  <c r="AF10" i="9"/>
  <c r="T9" i="9"/>
  <c r="C9" i="9"/>
  <c r="AF8" i="9"/>
  <c r="AF7" i="9"/>
  <c r="G6" i="9"/>
  <c r="AF6" i="9" s="1"/>
  <c r="AF5" i="9"/>
  <c r="AF4" i="9"/>
  <c r="AF3" i="9"/>
  <c r="AD26" i="8"/>
  <c r="AG26" i="8" s="1"/>
  <c r="G26" i="8"/>
  <c r="Z25" i="8"/>
  <c r="D25" i="8"/>
  <c r="AG25" i="8" s="1"/>
  <c r="AF24" i="8"/>
  <c r="AE24" i="8"/>
  <c r="AD24" i="8"/>
  <c r="AC24" i="8"/>
  <c r="AB24" i="8"/>
  <c r="AA24" i="8"/>
  <c r="X24" i="8"/>
  <c r="W24" i="8"/>
  <c r="V24" i="8"/>
  <c r="U24" i="8"/>
  <c r="T24" i="8"/>
  <c r="S24" i="8"/>
  <c r="R24" i="8"/>
  <c r="P24" i="8"/>
  <c r="M24" i="8"/>
  <c r="L24" i="8"/>
  <c r="K24" i="8"/>
  <c r="J24" i="8"/>
  <c r="I24" i="8"/>
  <c r="H24" i="8"/>
  <c r="G24" i="8"/>
  <c r="E24" i="8"/>
  <c r="C24" i="8"/>
  <c r="B24" i="8"/>
  <c r="AG18" i="8"/>
  <c r="X17" i="8"/>
  <c r="W17" i="8"/>
  <c r="T17" i="8"/>
  <c r="S17" i="8"/>
  <c r="R17" i="8"/>
  <c r="F17" i="8"/>
  <c r="AG17" i="8" s="1"/>
  <c r="N16" i="8"/>
  <c r="AG16" i="8" s="1"/>
  <c r="AG15" i="8"/>
  <c r="AG14" i="8"/>
  <c r="AE13" i="8"/>
  <c r="AG13" i="8" s="1"/>
  <c r="AG12" i="8"/>
  <c r="AG11" i="8"/>
  <c r="AC10" i="8"/>
  <c r="P10" i="8"/>
  <c r="X9" i="8"/>
  <c r="T9" i="8"/>
  <c r="P9" i="8"/>
  <c r="H9" i="8"/>
  <c r="D9" i="8"/>
  <c r="C9" i="8"/>
  <c r="AA8" i="8"/>
  <c r="AG8" i="8" s="1"/>
  <c r="AG7" i="8"/>
  <c r="AG6" i="8"/>
  <c r="AG5" i="8"/>
  <c r="J4" i="8"/>
  <c r="AG4" i="8" s="1"/>
  <c r="AG3" i="8"/>
  <c r="AG26" i="7"/>
  <c r="AA25" i="7"/>
  <c r="Z25" i="7"/>
  <c r="O25" i="7"/>
  <c r="E25" i="7"/>
  <c r="AE24" i="7"/>
  <c r="AB24" i="7"/>
  <c r="X24" i="7"/>
  <c r="W24" i="7"/>
  <c r="T24" i="7"/>
  <c r="S24" i="7"/>
  <c r="R24" i="7"/>
  <c r="Q24" i="7"/>
  <c r="M24" i="7"/>
  <c r="K24" i="7"/>
  <c r="J24" i="7"/>
  <c r="I24" i="7"/>
  <c r="H24" i="7"/>
  <c r="G24" i="7"/>
  <c r="F24" i="7"/>
  <c r="E24" i="7"/>
  <c r="C24" i="7"/>
  <c r="AG18" i="7"/>
  <c r="AE17" i="7"/>
  <c r="AC17" i="7"/>
  <c r="Y17" i="7"/>
  <c r="X17" i="7"/>
  <c r="W17" i="7"/>
  <c r="U17" i="7"/>
  <c r="S17" i="7"/>
  <c r="Q17" i="7"/>
  <c r="P17" i="7"/>
  <c r="O17" i="7"/>
  <c r="N17" i="7"/>
  <c r="K17" i="7"/>
  <c r="J17" i="7"/>
  <c r="I17" i="7"/>
  <c r="G17" i="7"/>
  <c r="E17" i="7"/>
  <c r="B17" i="7"/>
  <c r="AG16" i="7"/>
  <c r="AF15" i="7"/>
  <c r="AG15" i="7" s="1"/>
  <c r="AG14" i="7"/>
  <c r="AB13" i="7"/>
  <c r="V13" i="7"/>
  <c r="H13" i="7"/>
  <c r="AG12" i="7"/>
  <c r="AG11" i="7"/>
  <c r="W10" i="7"/>
  <c r="T10" i="7"/>
  <c r="J10" i="7"/>
  <c r="G10" i="7"/>
  <c r="AG10" i="7" s="1"/>
  <c r="AE9" i="7"/>
  <c r="AB9" i="7"/>
  <c r="AA9" i="7"/>
  <c r="W9" i="7"/>
  <c r="S9" i="7"/>
  <c r="O9" i="7"/>
  <c r="L9" i="7"/>
  <c r="G9" i="7"/>
  <c r="AG9" i="7" s="1"/>
  <c r="B9" i="7"/>
  <c r="AG8" i="7"/>
  <c r="C7" i="7"/>
  <c r="AG7" i="7" s="1"/>
  <c r="O6" i="7"/>
  <c r="G6" i="7"/>
  <c r="AG5" i="7"/>
  <c r="AG4" i="7"/>
  <c r="AG3" i="7"/>
  <c r="AF26" i="6"/>
  <c r="AE25" i="6"/>
  <c r="V25" i="6"/>
  <c r="K25" i="6"/>
  <c r="J25" i="6"/>
  <c r="AE24" i="6"/>
  <c r="AD24" i="6"/>
  <c r="AC24" i="6"/>
  <c r="X24" i="6"/>
  <c r="S24" i="6"/>
  <c r="R24" i="6"/>
  <c r="Q24" i="6"/>
  <c r="H24" i="6"/>
  <c r="E24" i="6"/>
  <c r="D24" i="6"/>
  <c r="B24" i="6"/>
  <c r="AF18" i="6"/>
  <c r="AC17" i="6"/>
  <c r="X17" i="6"/>
  <c r="S17" i="6"/>
  <c r="R17" i="6"/>
  <c r="Q17" i="6"/>
  <c r="O17" i="6"/>
  <c r="N17" i="6"/>
  <c r="J17" i="6"/>
  <c r="I17" i="6"/>
  <c r="F17" i="6"/>
  <c r="D17" i="6"/>
  <c r="C17" i="6"/>
  <c r="AF16" i="6"/>
  <c r="AF15" i="6"/>
  <c r="AF14" i="6"/>
  <c r="AF13" i="6"/>
  <c r="AF12" i="6"/>
  <c r="AF11" i="6"/>
  <c r="M10" i="6"/>
  <c r="H10" i="6"/>
  <c r="F10" i="6"/>
  <c r="S9" i="6"/>
  <c r="K9" i="6"/>
  <c r="J9" i="6"/>
  <c r="AF8" i="6"/>
  <c r="AF7" i="6"/>
  <c r="J6" i="6"/>
  <c r="AF6" i="6" s="1"/>
  <c r="AF5" i="6"/>
  <c r="AF4" i="6"/>
  <c r="AF3" i="6"/>
  <c r="AG26" i="5"/>
  <c r="AE25" i="5"/>
  <c r="AD25" i="5"/>
  <c r="U25" i="5"/>
  <c r="F25" i="5"/>
  <c r="AG25" i="5" s="1"/>
  <c r="AE24" i="5"/>
  <c r="AD24" i="5"/>
  <c r="AC24" i="5"/>
  <c r="AA24" i="5"/>
  <c r="X24" i="5"/>
  <c r="W24" i="5"/>
  <c r="V24" i="5"/>
  <c r="T24" i="5"/>
  <c r="S24" i="5"/>
  <c r="N24" i="5"/>
  <c r="M24" i="5"/>
  <c r="L24" i="5"/>
  <c r="H24" i="5"/>
  <c r="G24" i="5"/>
  <c r="E24" i="5"/>
  <c r="C24" i="5"/>
  <c r="B24" i="5"/>
  <c r="AG18" i="5"/>
  <c r="AC17" i="5"/>
  <c r="AB17" i="5"/>
  <c r="AA17" i="5"/>
  <c r="Z17" i="5"/>
  <c r="Y17" i="5"/>
  <c r="X17" i="5"/>
  <c r="V17" i="5"/>
  <c r="U17" i="5"/>
  <c r="S17" i="5"/>
  <c r="R17" i="5"/>
  <c r="Q17" i="5"/>
  <c r="P17" i="5"/>
  <c r="O17" i="5"/>
  <c r="M17" i="5"/>
  <c r="L17" i="5"/>
  <c r="K17" i="5"/>
  <c r="J17" i="5"/>
  <c r="G17" i="5"/>
  <c r="E17" i="5"/>
  <c r="C17" i="5"/>
  <c r="AF16" i="5"/>
  <c r="AG16" i="5" s="1"/>
  <c r="AC16" i="5"/>
  <c r="AG15" i="5"/>
  <c r="AG14" i="5"/>
  <c r="AB13" i="5"/>
  <c r="AG13" i="5" s="1"/>
  <c r="AG12" i="5"/>
  <c r="AG11" i="5"/>
  <c r="AF10" i="5"/>
  <c r="AB10" i="5"/>
  <c r="Y10" i="5"/>
  <c r="S10" i="5"/>
  <c r="G10" i="5"/>
  <c r="Z9" i="5"/>
  <c r="AG9" i="5" s="1"/>
  <c r="W9" i="5"/>
  <c r="AG8" i="5"/>
  <c r="AG7" i="5"/>
  <c r="P6" i="5"/>
  <c r="N6" i="5"/>
  <c r="G6" i="5"/>
  <c r="E6" i="5"/>
  <c r="AG5" i="5"/>
  <c r="AG4" i="5"/>
  <c r="AF3" i="5"/>
  <c r="V3" i="5"/>
  <c r="H25" i="4"/>
  <c r="AF25" i="4" s="1"/>
  <c r="AB24" i="4"/>
  <c r="AF24" i="4" s="1"/>
  <c r="AA23" i="4"/>
  <c r="Z23" i="4"/>
  <c r="Y23" i="4"/>
  <c r="X23" i="4"/>
  <c r="W23" i="4"/>
  <c r="T23" i="4"/>
  <c r="R23" i="4"/>
  <c r="Q23" i="4"/>
  <c r="O23" i="4"/>
  <c r="M23" i="4"/>
  <c r="K23" i="4"/>
  <c r="J23" i="4"/>
  <c r="H23" i="4"/>
  <c r="G23" i="4"/>
  <c r="E23" i="4"/>
  <c r="B23" i="4"/>
  <c r="AF17" i="4"/>
  <c r="AE16" i="4"/>
  <c r="AD16" i="4"/>
  <c r="AC16" i="4"/>
  <c r="AA16" i="4"/>
  <c r="W16" i="4"/>
  <c r="V16" i="4"/>
  <c r="T16" i="4"/>
  <c r="M16" i="4"/>
  <c r="L16" i="4"/>
  <c r="J16" i="4"/>
  <c r="I16" i="4"/>
  <c r="H16" i="4"/>
  <c r="K15" i="4"/>
  <c r="AF15" i="4" s="1"/>
  <c r="AF14" i="4"/>
  <c r="AB13" i="4"/>
  <c r="AF13" i="4" s="1"/>
  <c r="AE12" i="4"/>
  <c r="AF12" i="4" s="1"/>
  <c r="AF11" i="4"/>
  <c r="P10" i="4"/>
  <c r="AF10" i="4" s="1"/>
  <c r="AC9" i="4"/>
  <c r="AB9" i="4"/>
  <c r="V9" i="4"/>
  <c r="T9" i="4"/>
  <c r="M9" i="4"/>
  <c r="J9" i="4"/>
  <c r="I9" i="4"/>
  <c r="C9" i="4"/>
  <c r="AB8" i="4"/>
  <c r="AF8" i="4" s="1"/>
  <c r="AC7" i="4"/>
  <c r="W7" i="4"/>
  <c r="C7" i="4"/>
  <c r="L6" i="4"/>
  <c r="H6" i="4"/>
  <c r="G6" i="4"/>
  <c r="AF5" i="4"/>
  <c r="AF4" i="4"/>
  <c r="AF3" i="4"/>
  <c r="AG26" i="3"/>
  <c r="O25" i="3"/>
  <c r="AG25" i="3" s="1"/>
  <c r="AD24" i="3"/>
  <c r="Z24" i="3"/>
  <c r="V24" i="3"/>
  <c r="T24" i="3"/>
  <c r="S24" i="3"/>
  <c r="Q24" i="3"/>
  <c r="O24" i="3"/>
  <c r="M24" i="3"/>
  <c r="L24" i="3"/>
  <c r="K24" i="3"/>
  <c r="J24" i="3"/>
  <c r="I24" i="3"/>
  <c r="H24" i="3"/>
  <c r="F24" i="3"/>
  <c r="C24" i="3"/>
  <c r="B24" i="3"/>
  <c r="AG18" i="3"/>
  <c r="AE17" i="3"/>
  <c r="Y17" i="3"/>
  <c r="X17" i="3"/>
  <c r="V17" i="3"/>
  <c r="R17" i="3"/>
  <c r="M17" i="3"/>
  <c r="L17" i="3"/>
  <c r="K17" i="3"/>
  <c r="J17" i="3"/>
  <c r="B17" i="3"/>
  <c r="P16" i="3"/>
  <c r="AG16" i="3" s="1"/>
  <c r="AG15" i="3"/>
  <c r="AG14" i="3"/>
  <c r="AE13" i="3"/>
  <c r="AG13" i="3" s="1"/>
  <c r="AG12" i="3"/>
  <c r="AG11" i="3"/>
  <c r="P10" i="3"/>
  <c r="AG10" i="3" s="1"/>
  <c r="AE9" i="3"/>
  <c r="AC9" i="3"/>
  <c r="Z9" i="3"/>
  <c r="Y9" i="3"/>
  <c r="X9" i="3"/>
  <c r="W9" i="3"/>
  <c r="T9" i="3"/>
  <c r="M9" i="3"/>
  <c r="J9" i="3"/>
  <c r="AG8" i="3"/>
  <c r="AG7" i="3"/>
  <c r="AF6" i="3"/>
  <c r="H6" i="3"/>
  <c r="AG6" i="3" s="1"/>
  <c r="X5" i="3"/>
  <c r="AG5" i="3" s="1"/>
  <c r="AG4" i="3"/>
  <c r="W3" i="3"/>
  <c r="AG3" i="3" s="1"/>
  <c r="I3" i="3"/>
  <c r="V25" i="2"/>
  <c r="AE25" i="2" s="1"/>
  <c r="K24" i="2"/>
  <c r="C24" i="2"/>
  <c r="AE24" i="2" s="1"/>
  <c r="AD23" i="2"/>
  <c r="AC23" i="2"/>
  <c r="AB23" i="2"/>
  <c r="AA23" i="2"/>
  <c r="Y23" i="2"/>
  <c r="V23" i="2"/>
  <c r="T23" i="2"/>
  <c r="S23" i="2"/>
  <c r="Q23" i="2"/>
  <c r="O23" i="2"/>
  <c r="N23" i="2"/>
  <c r="M23" i="2"/>
  <c r="K23" i="2"/>
  <c r="J23" i="2"/>
  <c r="I23" i="2"/>
  <c r="H23" i="2"/>
  <c r="F23" i="2"/>
  <c r="E23" i="2"/>
  <c r="C23" i="2"/>
  <c r="B23" i="2"/>
  <c r="AE17" i="2"/>
  <c r="X16" i="2"/>
  <c r="W16" i="2"/>
  <c r="U16" i="2"/>
  <c r="T16" i="2"/>
  <c r="P16" i="2"/>
  <c r="L16" i="2"/>
  <c r="I16" i="2"/>
  <c r="AD15" i="2"/>
  <c r="X15" i="2"/>
  <c r="P15" i="2"/>
  <c r="AE14" i="2"/>
  <c r="AE13" i="2"/>
  <c r="AD12" i="2"/>
  <c r="AE12" i="2" s="1"/>
  <c r="AE11" i="2"/>
  <c r="AE10" i="2"/>
  <c r="AD9" i="2"/>
  <c r="Z9" i="2"/>
  <c r="Q9" i="2"/>
  <c r="P9" i="2"/>
  <c r="L9" i="2"/>
  <c r="I9" i="2"/>
  <c r="B9" i="2"/>
  <c r="AE8" i="2"/>
  <c r="AE7" i="2"/>
  <c r="V6" i="2"/>
  <c r="AE6" i="2" s="1"/>
  <c r="AE5" i="2"/>
  <c r="AE4" i="2"/>
  <c r="D4" i="14" s="1"/>
  <c r="AE3" i="2"/>
  <c r="D3" i="14" s="1"/>
  <c r="AG25" i="1"/>
  <c r="AG24" i="1"/>
  <c r="P24" i="1"/>
  <c r="O24" i="1"/>
  <c r="F24" i="1"/>
  <c r="AE23" i="1"/>
  <c r="AD23" i="1"/>
  <c r="AC23" i="1"/>
  <c r="AB23" i="1"/>
  <c r="Z23" i="1"/>
  <c r="Y23" i="1"/>
  <c r="U23" i="1"/>
  <c r="T23" i="1"/>
  <c r="S23" i="1"/>
  <c r="R23" i="1"/>
  <c r="Q23" i="1"/>
  <c r="O23" i="1"/>
  <c r="M23" i="1"/>
  <c r="L23" i="1"/>
  <c r="K23" i="1"/>
  <c r="J23" i="1"/>
  <c r="I23" i="1"/>
  <c r="F23" i="1"/>
  <c r="D23" i="1"/>
  <c r="C23" i="1"/>
  <c r="AD17" i="1"/>
  <c r="AB17" i="1"/>
  <c r="AA17" i="1"/>
  <c r="U17" i="1"/>
  <c r="O17" i="1"/>
  <c r="N17" i="1"/>
  <c r="M17" i="1"/>
  <c r="H17" i="1"/>
  <c r="G17" i="1"/>
  <c r="F17" i="1"/>
  <c r="E17" i="1"/>
  <c r="D17" i="1"/>
  <c r="AB16" i="1"/>
  <c r="AG16" i="1" s="1"/>
  <c r="D16" i="1"/>
  <c r="AG15" i="1"/>
  <c r="AG14" i="1"/>
  <c r="AG13" i="1"/>
  <c r="AD13" i="1"/>
  <c r="AG12" i="1"/>
  <c r="AB11" i="1"/>
  <c r="AG11" i="1" s="1"/>
  <c r="E10" i="1"/>
  <c r="AG10" i="1" s="1"/>
  <c r="AE9" i="1"/>
  <c r="AD9" i="1"/>
  <c r="R9" i="1"/>
  <c r="Q9" i="1"/>
  <c r="P9" i="1"/>
  <c r="H9" i="1"/>
  <c r="F9" i="1"/>
  <c r="AB8" i="1"/>
  <c r="AG8" i="1" s="1"/>
  <c r="N8" i="1"/>
  <c r="L8" i="1"/>
  <c r="AG7" i="1"/>
  <c r="AG6" i="1"/>
  <c r="F6" i="1"/>
  <c r="L5" i="1"/>
  <c r="AG5" i="1" s="1"/>
  <c r="N4" i="1"/>
  <c r="AG4" i="1" s="1"/>
  <c r="AG3" i="1"/>
  <c r="D10" i="14" l="1"/>
  <c r="AE9" i="2"/>
  <c r="AE18" i="2" s="1"/>
  <c r="AE28" i="2" s="1"/>
  <c r="AE23" i="2"/>
  <c r="AE26" i="2" s="1"/>
  <c r="AG23" i="1"/>
  <c r="C26" i="14"/>
  <c r="B26" i="14"/>
  <c r="AG9" i="3"/>
  <c r="AG19" i="3" s="1"/>
  <c r="AF7" i="4"/>
  <c r="AG3" i="5"/>
  <c r="AG17" i="5"/>
  <c r="AG13" i="7"/>
  <c r="AG19" i="7" s="1"/>
  <c r="AG29" i="7" s="1"/>
  <c r="AG24" i="7"/>
  <c r="AG27" i="7" s="1"/>
  <c r="D8" i="14"/>
  <c r="B25" i="14"/>
  <c r="C25" i="14"/>
  <c r="AE16" i="2"/>
  <c r="AG17" i="7"/>
  <c r="AF27" i="11"/>
  <c r="D7" i="14"/>
  <c r="AF16" i="4"/>
  <c r="AG17" i="3"/>
  <c r="AF9" i="4"/>
  <c r="AF18" i="4" s="1"/>
  <c r="AF9" i="6"/>
  <c r="AF19" i="6" s="1"/>
  <c r="AG25" i="7"/>
  <c r="AG19" i="13"/>
  <c r="AG27" i="13"/>
  <c r="D11" i="14"/>
  <c r="AG17" i="1"/>
  <c r="AG6" i="5"/>
  <c r="AG10" i="5"/>
  <c r="AG24" i="8"/>
  <c r="AG27" i="8" s="1"/>
  <c r="D12" i="14"/>
  <c r="AG24" i="3"/>
  <c r="AG27" i="3" s="1"/>
  <c r="AG29" i="3" s="1"/>
  <c r="AF6" i="4"/>
  <c r="AF23" i="4"/>
  <c r="AF10" i="6"/>
  <c r="AG10" i="8"/>
  <c r="AG24" i="10"/>
  <c r="AG27" i="10" s="1"/>
  <c r="AG19" i="12"/>
  <c r="AG9" i="1"/>
  <c r="AG18" i="1" s="1"/>
  <c r="AE15" i="2"/>
  <c r="AG24" i="5"/>
  <c r="AG27" i="5" s="1"/>
  <c r="AF17" i="6"/>
  <c r="AF24" i="6"/>
  <c r="AF25" i="6"/>
  <c r="AG6" i="7"/>
  <c r="AG9" i="8"/>
  <c r="AG19" i="8" s="1"/>
  <c r="AG29" i="8" s="1"/>
  <c r="AF9" i="9"/>
  <c r="AF17" i="9"/>
  <c r="AF24" i="9"/>
  <c r="AG29" i="13"/>
  <c r="AG29" i="12"/>
  <c r="AF19" i="11"/>
  <c r="AG29" i="10"/>
  <c r="AF25" i="9"/>
  <c r="AF26" i="4"/>
  <c r="D26" i="14" l="1"/>
  <c r="D14" i="14"/>
  <c r="AF27" i="6"/>
  <c r="AF29" i="6" s="1"/>
  <c r="D25" i="14"/>
  <c r="D13" i="14"/>
  <c r="D9" i="14"/>
  <c r="D6" i="14"/>
  <c r="AF28" i="4"/>
  <c r="AG26" i="1"/>
  <c r="AG28" i="1" s="1"/>
  <c r="C24" i="14"/>
  <c r="B24" i="14"/>
  <c r="AF29" i="11"/>
  <c r="D5" i="14"/>
  <c r="AG19" i="5"/>
  <c r="AG29" i="5" s="1"/>
  <c r="AF19" i="9"/>
  <c r="AF27" i="9"/>
  <c r="D24" i="14" l="1"/>
  <c r="D27" i="14" s="1"/>
  <c r="D16" i="14"/>
  <c r="D15" i="14"/>
  <c r="AF29" i="9"/>
  <c r="D17" i="14" l="1"/>
  <c r="D19" i="14" s="1"/>
  <c r="D29" i="14" s="1"/>
</calcChain>
</file>

<file path=xl/comments1.xml><?xml version="1.0" encoding="utf-8"?>
<comments xmlns="http://schemas.openxmlformats.org/spreadsheetml/2006/main">
  <authors>
    <author>Kleber Bechara</author>
  </authors>
  <commentList>
    <comment ref="AB3" authorId="0" shapeId="0">
      <text>
        <r>
          <rPr>
            <sz val="9"/>
            <color indexed="81"/>
            <rFont val="Calibri"/>
            <family val="2"/>
          </rPr>
          <t xml:space="preserve">HIDRO
</t>
        </r>
      </text>
    </comment>
  </commentList>
</comments>
</file>

<file path=xl/comments2.xml><?xml version="1.0" encoding="utf-8"?>
<comments xmlns="http://schemas.openxmlformats.org/spreadsheetml/2006/main">
  <authors>
    <author>Marcelo Trindade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 xml:space="preserve">HIDROAVIÃO
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</rPr>
          <t>Marcelo Trindade:</t>
        </r>
        <r>
          <rPr>
            <sz val="9"/>
            <color indexed="81"/>
            <rFont val="Tahoma"/>
            <family val="2"/>
          </rPr>
          <t xml:space="preserve">
van rogerio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Marcelo Trindade:</t>
        </r>
        <r>
          <rPr>
            <sz val="9"/>
            <color indexed="81"/>
            <rFont val="Tahoma"/>
            <family val="2"/>
          </rPr>
          <t xml:space="preserve">
mercado são jose R$ 25.754,93
</t>
        </r>
      </text>
    </comment>
    <comment ref="AF15" authorId="0" shapeId="0">
      <text>
        <r>
          <rPr>
            <sz val="9"/>
            <color indexed="81"/>
            <rFont val="Tahoma"/>
            <family val="2"/>
          </rPr>
          <t xml:space="preserve">R$ 22.792,00 referente reembolso 70% hospede.
R$ 13.250,00 barco Moacir 
</t>
        </r>
      </text>
    </comment>
  </commentList>
</comments>
</file>

<file path=xl/comments3.xml><?xml version="1.0" encoding="utf-8"?>
<comments xmlns="http://schemas.openxmlformats.org/spreadsheetml/2006/main">
  <authors>
    <author>Marcelo Trindade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Marcelo Trindade:</t>
        </r>
        <r>
          <rPr>
            <sz val="9"/>
            <color indexed="81"/>
            <rFont val="Tahoma"/>
            <family val="2"/>
          </rPr>
          <t xml:space="preserve">
CUSTOS COM HIDRO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</rPr>
          <t>Marcelo Trindade:</t>
        </r>
        <r>
          <rPr>
            <sz val="9"/>
            <color indexed="81"/>
            <rFont val="Tahoma"/>
            <family val="2"/>
          </rPr>
          <t xml:space="preserve">
HIDRO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Marcelo Trindade:</t>
        </r>
        <r>
          <rPr>
            <sz val="9"/>
            <color indexed="81"/>
            <rFont val="Tahoma"/>
            <family val="2"/>
          </rPr>
          <t xml:space="preserve">
SÃO JOSE
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</rPr>
          <t>Marcelo Trindade:</t>
        </r>
        <r>
          <rPr>
            <sz val="9"/>
            <color indexed="81"/>
            <rFont val="Tahoma"/>
            <family val="2"/>
          </rPr>
          <t xml:space="preserve">
mercado são jose</t>
        </r>
      </text>
    </comment>
    <comment ref="X8" authorId="0" shapeId="0">
      <text>
        <r>
          <rPr>
            <b/>
            <sz val="9"/>
            <color indexed="81"/>
            <rFont val="Tahoma"/>
            <family val="2"/>
          </rPr>
          <t>Marcelo Trindade:</t>
        </r>
        <r>
          <rPr>
            <sz val="9"/>
            <color indexed="81"/>
            <rFont val="Tahoma"/>
            <family val="2"/>
          </rPr>
          <t xml:space="preserve">
SÃO JOSE
</t>
        </r>
      </text>
    </comment>
  </commentList>
</comments>
</file>

<file path=xl/sharedStrings.xml><?xml version="1.0" encoding="utf-8"?>
<sst xmlns="http://schemas.openxmlformats.org/spreadsheetml/2006/main" count="364" uniqueCount="82">
  <si>
    <t>GASTOS: JANEIRO</t>
  </si>
  <si>
    <t>Total</t>
  </si>
  <si>
    <t>TRANSFERS/CITY TOUR/FRETES</t>
  </si>
  <si>
    <t>ALUGUEL LANCHA</t>
  </si>
  <si>
    <t>VERDURAS</t>
  </si>
  <si>
    <t>DIARISTAS / DANÇA</t>
  </si>
  <si>
    <t>COMPRA GELO</t>
  </si>
  <si>
    <t>MERCADO DS</t>
  </si>
  <si>
    <t>COMPRAS DIVERSAS RESTAURANTE</t>
  </si>
  <si>
    <t>DESPESAS PASSEIOS(COMUNIDADES/ BOTOS)</t>
  </si>
  <si>
    <t>COMBUSTIVEL</t>
  </si>
  <si>
    <t>ESTADIA POUSADA (GUIAS)</t>
  </si>
  <si>
    <t>ENERGIA ELETRICA / TELEFONIA</t>
  </si>
  <si>
    <t>ALIMENTAÇÃO FUNCIONÁRIOS</t>
  </si>
  <si>
    <t>DEVOLUÇÕES</t>
  </si>
  <si>
    <t>GUIAS</t>
  </si>
  <si>
    <t>DIVERSOS(MATERIAL PARA COZINHA, MANUTENÇÃO, MATERIAL LIMPEZA, UNIFORMES, MOTOTAXI)</t>
  </si>
  <si>
    <t>ENTRADAS RECEPÇÃO</t>
  </si>
  <si>
    <t>SALDO DE DEZEMBRO</t>
  </si>
  <si>
    <t>CARTÃO</t>
  </si>
  <si>
    <t>DEPOSITO EM CONTA</t>
  </si>
  <si>
    <t>DINHEIRO</t>
  </si>
  <si>
    <t>SALDO MÊS:</t>
  </si>
  <si>
    <t>GASTOS: FEVEREIRO</t>
  </si>
  <si>
    <t>29-02</t>
  </si>
  <si>
    <t>MERCADO DS/ SAO JOSE</t>
  </si>
  <si>
    <t>SALDO DE JANEIRO</t>
  </si>
  <si>
    <t>GASTOS: MARÇO</t>
  </si>
  <si>
    <r>
      <rPr>
        <sz val="10"/>
        <color indexed="49"/>
        <rFont val="Verdana"/>
        <family val="2"/>
      </rPr>
      <t>MERCADO DS</t>
    </r>
    <r>
      <rPr>
        <sz val="10"/>
        <rFont val="Verdana"/>
        <family val="2"/>
      </rPr>
      <t>/SAO JOSE</t>
    </r>
  </si>
  <si>
    <t xml:space="preserve"> </t>
  </si>
  <si>
    <t>SALDO DE FEVEREIRO</t>
  </si>
  <si>
    <t>GASTOS: ABRIL</t>
  </si>
  <si>
    <r>
      <t>MERCADO DS/</t>
    </r>
    <r>
      <rPr>
        <sz val="10"/>
        <color indexed="49"/>
        <rFont val="Verdana"/>
        <family val="2"/>
      </rPr>
      <t>SAO JOSE</t>
    </r>
  </si>
  <si>
    <t>00,00</t>
  </si>
  <si>
    <t>SALDO DE MARÇO</t>
  </si>
  <si>
    <t>GASTOS: MAIO</t>
  </si>
  <si>
    <r>
      <t>MERCADO DS/</t>
    </r>
    <r>
      <rPr>
        <sz val="10"/>
        <color indexed="44"/>
        <rFont val="Verdana"/>
        <family val="2"/>
      </rPr>
      <t>SAO JOSE</t>
    </r>
  </si>
  <si>
    <t>SALDO DE ABRIL</t>
  </si>
  <si>
    <t>GASTOS: JUNHO</t>
  </si>
  <si>
    <t>SALDO DE MAIO</t>
  </si>
  <si>
    <t>1301,68+1241,61+600,78</t>
  </si>
  <si>
    <t>GASTOS: JULHO</t>
  </si>
  <si>
    <t>MERCADO DS/ SÃO JOSE</t>
  </si>
  <si>
    <t>SALDO DE JUNHO</t>
  </si>
  <si>
    <t>GASTOS: AGOSTO</t>
  </si>
  <si>
    <t>MERCADO DS / SÃO JOSE</t>
  </si>
  <si>
    <t>SALDO DE JULHO</t>
  </si>
  <si>
    <t>GASTOS: SETEMBRO</t>
  </si>
  <si>
    <t>SALDO DE AGOSTO</t>
  </si>
  <si>
    <t>GASTOS: OUTUBRO</t>
  </si>
  <si>
    <t>SALDO DE SETEMBRO</t>
  </si>
  <si>
    <t>GASTOS: NOVEMBRO</t>
  </si>
  <si>
    <t>SALDO DE OUTUBRO</t>
  </si>
  <si>
    <t>GASTOS: DEZEMBRO</t>
  </si>
  <si>
    <t>SALDO DE NOVEMBRO</t>
  </si>
  <si>
    <t>Total - Janeiro 2016</t>
  </si>
  <si>
    <t>Total - Fevereiro 2016</t>
  </si>
  <si>
    <t>Total - Março 2016</t>
  </si>
  <si>
    <t>Total - Abril 2016</t>
  </si>
  <si>
    <t>Total - Maio 2016</t>
  </si>
  <si>
    <t>Total - Junho 2016</t>
  </si>
  <si>
    <t>Total - Julho 2016</t>
  </si>
  <si>
    <t>Total -Agosto 2016</t>
  </si>
  <si>
    <t>Total - Setembro 2016</t>
  </si>
  <si>
    <t>Total - Outubro 2016</t>
  </si>
  <si>
    <t>Total - Novembro 2016</t>
  </si>
  <si>
    <t>Total - Dezembro 2016</t>
  </si>
  <si>
    <t>Total -  Agosto 2016</t>
  </si>
  <si>
    <t>Total -Outubro 2016</t>
  </si>
  <si>
    <t>Total - Dezembro  2016</t>
  </si>
  <si>
    <t>01-2016</t>
  </si>
  <si>
    <t>10-2016</t>
  </si>
  <si>
    <t>11-2016</t>
  </si>
  <si>
    <t>12-2016</t>
  </si>
  <si>
    <t>02-2016</t>
  </si>
  <si>
    <t>03-2016</t>
  </si>
  <si>
    <t>04-2016</t>
  </si>
  <si>
    <t>05-2016</t>
  </si>
  <si>
    <t>06-2016</t>
  </si>
  <si>
    <t>07-2016</t>
  </si>
  <si>
    <t>08-2016</t>
  </si>
  <si>
    <t>09-2016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</si>
</sst>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$&quot;\ #,##0.00"/>
    <numFmt numFmtId="165" formatCode="_(&quot;R$&quot;* #,##0.00_);_(&quot;R$&quot;* \(#,##0.00\);_(&quot;R$&quot;* &quot;-&quot;??_);_(@_)"/>
    <numFmt numFmtId="166" formatCode="&quot;R$&quot;#,##0.00"/>
  </numFmts>
  <fonts count="11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indexed="49"/>
      <name val="Verdana"/>
      <family val="2"/>
    </font>
    <font>
      <sz val="10"/>
      <color theme="4"/>
      <name val="Verdana"/>
      <family val="2"/>
    </font>
    <font>
      <sz val="10"/>
      <color theme="4" tint="-0.249977111117893"/>
      <name val="Verdana"/>
      <family val="2"/>
    </font>
    <font>
      <sz val="10"/>
      <color indexed="44"/>
      <name val="Verdana"/>
      <family val="2"/>
    </font>
    <font>
      <sz val="9"/>
      <color indexed="8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left"/>
    </xf>
    <xf numFmtId="16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164" fontId="2" fillId="3" borderId="1" xfId="0" applyNumberFormat="1" applyFont="1" applyFill="1" applyBorder="1" applyProtection="1">
      <protection locked="0"/>
    </xf>
    <xf numFmtId="164" fontId="2" fillId="0" borderId="1" xfId="0" applyNumberFormat="1" applyFont="1" applyBorder="1"/>
    <xf numFmtId="0" fontId="0" fillId="0" borderId="1" xfId="0" applyBorder="1"/>
    <xf numFmtId="164" fontId="0" fillId="4" borderId="1" xfId="0" applyNumberFormat="1" applyFill="1" applyBorder="1"/>
    <xf numFmtId="0" fontId="1" fillId="0" borderId="1" xfId="0" applyFont="1" applyBorder="1" applyAlignment="1">
      <alignment horizontal="left"/>
    </xf>
    <xf numFmtId="16" fontId="1" fillId="5" borderId="1" xfId="0" applyNumberFormat="1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0" fillId="6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2" fillId="7" borderId="0" xfId="0" applyFont="1" applyFill="1" applyBorder="1"/>
    <xf numFmtId="164" fontId="0" fillId="8" borderId="0" xfId="0" applyNumberFormat="1" applyFill="1" applyAlignment="1">
      <alignment horizontal="right"/>
    </xf>
    <xf numFmtId="164" fontId="0" fillId="9" borderId="1" xfId="0" applyNumberFormat="1" applyFill="1" applyBorder="1" applyAlignment="1">
      <alignment horizontal="right"/>
    </xf>
    <xf numFmtId="164" fontId="0" fillId="6" borderId="1" xfId="0" applyNumberFormat="1" applyFill="1" applyBorder="1"/>
    <xf numFmtId="164" fontId="0" fillId="8" borderId="0" xfId="0" applyNumberFormat="1" applyFill="1"/>
    <xf numFmtId="164" fontId="4" fillId="3" borderId="1" xfId="0" applyNumberFormat="1" applyFont="1" applyFill="1" applyBorder="1" applyProtection="1">
      <protection locked="0"/>
    </xf>
    <xf numFmtId="166" fontId="2" fillId="0" borderId="1" xfId="0" applyNumberFormat="1" applyFont="1" applyBorder="1" applyAlignment="1">
      <alignment horizontal="center"/>
    </xf>
    <xf numFmtId="164" fontId="5" fillId="3" borderId="1" xfId="0" applyNumberFormat="1" applyFont="1" applyFill="1" applyBorder="1" applyProtection="1">
      <protection locked="0"/>
    </xf>
    <xf numFmtId="166" fontId="2" fillId="0" borderId="1" xfId="0" applyNumberFormat="1" applyFont="1" applyBorder="1" applyAlignment="1"/>
    <xf numFmtId="164" fontId="2" fillId="0" borderId="1" xfId="0" applyNumberFormat="1" applyFont="1" applyBorder="1" applyAlignment="1"/>
    <xf numFmtId="164" fontId="0" fillId="6" borderId="1" xfId="0" applyNumberFormat="1" applyFill="1" applyBorder="1" applyAlignment="1"/>
    <xf numFmtId="0" fontId="0" fillId="0" borderId="0" xfId="0" applyAlignment="1"/>
    <xf numFmtId="164" fontId="0" fillId="8" borderId="0" xfId="0" applyNumberFormat="1" applyFill="1" applyAlignment="1"/>
    <xf numFmtId="164" fontId="2" fillId="0" borderId="1" xfId="0" applyNumberFormat="1" applyFont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8" borderId="0" xfId="0" applyNumberFormat="1" applyFont="1" applyFill="1" applyAlignment="1">
      <alignment horizontal="center"/>
    </xf>
    <xf numFmtId="164" fontId="2" fillId="10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10" fillId="0" borderId="1" xfId="0" applyFont="1" applyBorder="1"/>
    <xf numFmtId="164" fontId="2" fillId="3" borderId="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0</xdr:col>
      <xdr:colOff>2886075</xdr:colOff>
      <xdr:row>0</xdr:row>
      <xdr:rowOff>923925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28289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3162301</xdr:colOff>
      <xdr:row>0</xdr:row>
      <xdr:rowOff>523875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9525"/>
          <a:ext cx="3105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2952751</xdr:colOff>
      <xdr:row>0</xdr:row>
      <xdr:rowOff>904875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9525"/>
          <a:ext cx="28956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0</xdr:rowOff>
    </xdr:from>
    <xdr:to>
      <xdr:col>0</xdr:col>
      <xdr:colOff>2819401</xdr:colOff>
      <xdr:row>0</xdr:row>
      <xdr:rowOff>914400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0"/>
          <a:ext cx="27051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0</xdr:col>
      <xdr:colOff>2924175</xdr:colOff>
      <xdr:row>0</xdr:row>
      <xdr:rowOff>895350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28670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0</xdr:col>
      <xdr:colOff>2886075</xdr:colOff>
      <xdr:row>0</xdr:row>
      <xdr:rowOff>923925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28289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3714750</xdr:colOff>
      <xdr:row>0</xdr:row>
      <xdr:rowOff>552450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14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3724275</xdr:colOff>
      <xdr:row>0</xdr:row>
      <xdr:rowOff>923925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36576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9526</xdr:rowOff>
    </xdr:from>
    <xdr:to>
      <xdr:col>0</xdr:col>
      <xdr:colOff>3028951</xdr:colOff>
      <xdr:row>0</xdr:row>
      <xdr:rowOff>828676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9526"/>
          <a:ext cx="29718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3009901</xdr:colOff>
      <xdr:row>0</xdr:row>
      <xdr:rowOff>962025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9525"/>
          <a:ext cx="2952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0</xdr:col>
      <xdr:colOff>3076575</xdr:colOff>
      <xdr:row>0</xdr:row>
      <xdr:rowOff>952500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30194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2990851</xdr:colOff>
      <xdr:row>0</xdr:row>
      <xdr:rowOff>942975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9525"/>
          <a:ext cx="29337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</xdr:rowOff>
    </xdr:from>
    <xdr:to>
      <xdr:col>0</xdr:col>
      <xdr:colOff>3219451</xdr:colOff>
      <xdr:row>0</xdr:row>
      <xdr:rowOff>923925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9525"/>
          <a:ext cx="3162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0</xdr:col>
      <xdr:colOff>3419475</xdr:colOff>
      <xdr:row>0</xdr:row>
      <xdr:rowOff>895350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33623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customProperty" Target="../customProperty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" sqref="B1:B12"/>
    </sheetView>
  </sheetViews>
  <sheetFormatPr defaultRowHeight="15" x14ac:dyDescent="0.25"/>
  <cols>
    <col min="1" max="1" width="25.28515625" customWidth="1"/>
  </cols>
  <sheetData>
    <row r="1" spans="1:2" x14ac:dyDescent="0.25">
      <c r="A1" s="1" t="s">
        <v>55</v>
      </c>
      <c r="B1" s="35" t="s">
        <v>70</v>
      </c>
    </row>
    <row r="2" spans="1:2" x14ac:dyDescent="0.25">
      <c r="A2" s="1" t="s">
        <v>56</v>
      </c>
      <c r="B2" s="35" t="s">
        <v>74</v>
      </c>
    </row>
    <row r="3" spans="1:2" x14ac:dyDescent="0.25">
      <c r="A3" s="1" t="s">
        <v>57</v>
      </c>
      <c r="B3" s="35" t="s">
        <v>75</v>
      </c>
    </row>
    <row r="4" spans="1:2" x14ac:dyDescent="0.25">
      <c r="A4" s="1" t="s">
        <v>58</v>
      </c>
      <c r="B4" s="35" t="s">
        <v>76</v>
      </c>
    </row>
    <row r="5" spans="1:2" x14ac:dyDescent="0.25">
      <c r="A5" s="1" t="s">
        <v>59</v>
      </c>
      <c r="B5" s="35" t="s">
        <v>77</v>
      </c>
    </row>
    <row r="6" spans="1:2" x14ac:dyDescent="0.25">
      <c r="A6" s="1" t="s">
        <v>60</v>
      </c>
      <c r="B6" s="35" t="s">
        <v>78</v>
      </c>
    </row>
    <row r="7" spans="1:2" x14ac:dyDescent="0.25">
      <c r="A7" s="1" t="s">
        <v>61</v>
      </c>
      <c r="B7" s="35" t="s">
        <v>79</v>
      </c>
    </row>
    <row r="8" spans="1:2" x14ac:dyDescent="0.25">
      <c r="A8" s="1" t="s">
        <v>62</v>
      </c>
      <c r="B8" s="35" t="s">
        <v>80</v>
      </c>
    </row>
    <row r="9" spans="1:2" x14ac:dyDescent="0.25">
      <c r="A9" s="1" t="s">
        <v>63</v>
      </c>
      <c r="B9" s="35" t="s">
        <v>81</v>
      </c>
    </row>
    <row r="10" spans="1:2" x14ac:dyDescent="0.25">
      <c r="A10" s="1" t="s">
        <v>64</v>
      </c>
      <c r="B10" s="35" t="s">
        <v>71</v>
      </c>
    </row>
    <row r="11" spans="1:2" x14ac:dyDescent="0.25">
      <c r="A11" s="1" t="s">
        <v>65</v>
      </c>
      <c r="B11" s="35" t="s">
        <v>72</v>
      </c>
    </row>
    <row r="12" spans="1:2" x14ac:dyDescent="0.25">
      <c r="A12" s="1" t="s">
        <v>66</v>
      </c>
      <c r="B12" s="35" t="s">
        <v>73</v>
      </c>
    </row>
  </sheetData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9"/>
  <sheetViews>
    <sheetView workbookViewId="0">
      <selection activeCell="A3" sqref="A3"/>
    </sheetView>
  </sheetViews>
  <sheetFormatPr defaultColWidth="11.42578125" defaultRowHeight="15" x14ac:dyDescent="0.25"/>
  <cols>
    <col min="1" max="1" width="56.85546875" customWidth="1"/>
    <col min="2" max="2" width="15.5703125" customWidth="1"/>
    <col min="3" max="3" width="13.42578125" bestFit="1" customWidth="1"/>
    <col min="4" max="5" width="13.5703125" bestFit="1" customWidth="1"/>
    <col min="6" max="6" width="12.5703125" bestFit="1" customWidth="1"/>
    <col min="7" max="8" width="13.5703125" bestFit="1" customWidth="1"/>
    <col min="9" max="9" width="15.42578125" customWidth="1"/>
    <col min="10" max="10" width="15" bestFit="1" customWidth="1"/>
    <col min="11" max="15" width="13.5703125" bestFit="1" customWidth="1"/>
    <col min="16" max="16" width="15" bestFit="1" customWidth="1"/>
    <col min="17" max="20" width="13.5703125" bestFit="1" customWidth="1"/>
    <col min="21" max="21" width="16.28515625" bestFit="1" customWidth="1"/>
    <col min="22" max="31" width="13.5703125" bestFit="1" customWidth="1"/>
    <col min="33" max="33" width="22.5703125" bestFit="1" customWidth="1"/>
  </cols>
  <sheetData>
    <row r="1" spans="1:33" ht="78.75" customHeight="1" x14ac:dyDescent="0.25"/>
    <row r="2" spans="1:33" x14ac:dyDescent="0.25">
      <c r="A2" s="1" t="s">
        <v>44</v>
      </c>
      <c r="B2" s="2">
        <v>42583</v>
      </c>
      <c r="C2" s="2">
        <v>42584</v>
      </c>
      <c r="D2" s="2">
        <v>42585</v>
      </c>
      <c r="E2" s="2">
        <v>42586</v>
      </c>
      <c r="F2" s="2">
        <v>42587</v>
      </c>
      <c r="G2" s="2">
        <v>42588</v>
      </c>
      <c r="H2" s="2">
        <v>42589</v>
      </c>
      <c r="I2" s="2">
        <v>42590</v>
      </c>
      <c r="J2" s="2">
        <v>42591</v>
      </c>
      <c r="K2" s="2">
        <v>42592</v>
      </c>
      <c r="L2" s="2">
        <v>42593</v>
      </c>
      <c r="M2" s="2">
        <v>42594</v>
      </c>
      <c r="N2" s="2">
        <v>42595</v>
      </c>
      <c r="O2" s="2">
        <v>42596</v>
      </c>
      <c r="P2" s="2">
        <v>42597</v>
      </c>
      <c r="Q2" s="2">
        <v>42598</v>
      </c>
      <c r="R2" s="2">
        <v>42599</v>
      </c>
      <c r="S2" s="2">
        <v>42600</v>
      </c>
      <c r="T2" s="2">
        <v>42601</v>
      </c>
      <c r="U2" s="2">
        <v>42602</v>
      </c>
      <c r="V2" s="2">
        <v>42603</v>
      </c>
      <c r="W2" s="2">
        <v>42604</v>
      </c>
      <c r="X2" s="2">
        <v>42605</v>
      </c>
      <c r="Y2" s="2">
        <v>42606</v>
      </c>
      <c r="Z2" s="2">
        <v>42607</v>
      </c>
      <c r="AA2" s="2">
        <v>42608</v>
      </c>
      <c r="AB2" s="2">
        <v>42609</v>
      </c>
      <c r="AC2" s="2">
        <v>42610</v>
      </c>
      <c r="AD2" s="2">
        <v>42611</v>
      </c>
      <c r="AE2" s="2">
        <v>42612</v>
      </c>
      <c r="AF2" s="2">
        <v>42613</v>
      </c>
      <c r="AG2" s="3" t="s">
        <v>67</v>
      </c>
    </row>
    <row r="3" spans="1:33" x14ac:dyDescent="0.25">
      <c r="A3" s="4" t="s">
        <v>2</v>
      </c>
      <c r="B3" s="5"/>
      <c r="C3" s="5">
        <v>2000</v>
      </c>
      <c r="D3" s="5"/>
      <c r="E3" s="5"/>
      <c r="F3" s="5">
        <v>120</v>
      </c>
      <c r="G3" s="5"/>
      <c r="H3" s="5"/>
      <c r="I3" s="5">
        <v>5860</v>
      </c>
      <c r="J3" s="5"/>
      <c r="K3" s="5"/>
      <c r="L3" s="5"/>
      <c r="M3" s="5">
        <v>3407.5</v>
      </c>
      <c r="N3" s="5"/>
      <c r="O3" s="5"/>
      <c r="P3" s="5">
        <v>3144</v>
      </c>
      <c r="Q3" s="5"/>
      <c r="R3" s="5"/>
      <c r="S3" s="5"/>
      <c r="T3" s="5"/>
      <c r="U3" s="5">
        <v>3555</v>
      </c>
      <c r="V3" s="5"/>
      <c r="W3" s="5"/>
      <c r="X3" s="5">
        <v>3400</v>
      </c>
      <c r="Y3" s="5"/>
      <c r="Z3" s="5"/>
      <c r="AA3" s="5">
        <v>2240</v>
      </c>
      <c r="AB3" s="5"/>
      <c r="AC3" s="5"/>
      <c r="AD3" s="5"/>
      <c r="AE3" s="5">
        <v>2852</v>
      </c>
      <c r="AF3" s="5"/>
      <c r="AG3" s="6">
        <f t="shared" ref="AG3:AG18" si="0">SUM(B3:AF3)</f>
        <v>26578.5</v>
      </c>
    </row>
    <row r="4" spans="1:33" x14ac:dyDescent="0.25">
      <c r="A4" s="4" t="s">
        <v>3</v>
      </c>
      <c r="B4" s="5"/>
      <c r="C4" s="5"/>
      <c r="D4" s="5">
        <v>300</v>
      </c>
      <c r="E4" s="5"/>
      <c r="F4" s="5"/>
      <c r="G4" s="5"/>
      <c r="H4" s="5"/>
      <c r="I4" s="5"/>
      <c r="J4" s="5">
        <f>380</f>
        <v>380</v>
      </c>
      <c r="K4" s="5"/>
      <c r="L4" s="5"/>
      <c r="M4" s="5"/>
      <c r="N4" s="5"/>
      <c r="O4" s="5"/>
      <c r="P4" s="5">
        <v>400</v>
      </c>
      <c r="Q4" s="5"/>
      <c r="R4" s="5"/>
      <c r="S4" s="5"/>
      <c r="T4" s="5"/>
      <c r="U4" s="5"/>
      <c r="V4" s="5"/>
      <c r="W4" s="5"/>
      <c r="X4" s="5">
        <v>400</v>
      </c>
      <c r="Y4" s="5"/>
      <c r="Z4" s="5">
        <v>350</v>
      </c>
      <c r="AA4" s="5">
        <v>150</v>
      </c>
      <c r="AB4" s="5"/>
      <c r="AC4" s="5"/>
      <c r="AD4" s="5"/>
      <c r="AE4" s="5">
        <v>500</v>
      </c>
      <c r="AF4" s="5"/>
      <c r="AG4" s="6">
        <f t="shared" si="0"/>
        <v>2480</v>
      </c>
    </row>
    <row r="5" spans="1:33" x14ac:dyDescent="0.25">
      <c r="A5" s="4" t="s">
        <v>4</v>
      </c>
      <c r="B5" s="5"/>
      <c r="C5" s="5"/>
      <c r="D5" s="5"/>
      <c r="E5" s="5"/>
      <c r="F5" s="5"/>
      <c r="G5" s="5"/>
      <c r="H5" s="5"/>
      <c r="I5" s="5"/>
      <c r="J5" s="5">
        <v>3745.4</v>
      </c>
      <c r="K5" s="5"/>
      <c r="L5" s="5"/>
      <c r="M5" s="5"/>
      <c r="N5" s="5"/>
      <c r="O5" s="5"/>
      <c r="P5" s="5">
        <v>2422.3000000000002</v>
      </c>
      <c r="Q5" s="5"/>
      <c r="R5" s="5"/>
      <c r="S5" s="5"/>
      <c r="T5" s="5"/>
      <c r="U5" s="5"/>
      <c r="V5" s="5"/>
      <c r="W5" s="5">
        <v>2817.05</v>
      </c>
      <c r="X5" s="5"/>
      <c r="Y5" s="5"/>
      <c r="Z5" s="5"/>
      <c r="AA5" s="5"/>
      <c r="AB5" s="5"/>
      <c r="AC5" s="5"/>
      <c r="AD5" s="5"/>
      <c r="AE5" s="5">
        <v>1815</v>
      </c>
      <c r="AF5" s="5"/>
      <c r="AG5" s="6">
        <f t="shared" si="0"/>
        <v>10799.75</v>
      </c>
    </row>
    <row r="6" spans="1:33" x14ac:dyDescent="0.25">
      <c r="A6" s="4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>
        <v>110</v>
      </c>
      <c r="O6" s="5"/>
      <c r="P6" s="5"/>
      <c r="Q6" s="5"/>
      <c r="R6" s="5"/>
      <c r="S6" s="5"/>
      <c r="T6" s="5">
        <v>210</v>
      </c>
      <c r="U6" s="5"/>
      <c r="V6" s="5"/>
      <c r="W6" s="5">
        <v>35</v>
      </c>
      <c r="X6" s="5"/>
      <c r="Y6" s="5">
        <v>540</v>
      </c>
      <c r="Z6" s="5"/>
      <c r="AA6" s="5"/>
      <c r="AB6" s="5"/>
      <c r="AC6" s="5"/>
      <c r="AD6" s="5"/>
      <c r="AE6" s="5"/>
      <c r="AF6" s="5">
        <v>774.37</v>
      </c>
      <c r="AG6" s="6">
        <f t="shared" si="0"/>
        <v>1669.37</v>
      </c>
    </row>
    <row r="7" spans="1:33" x14ac:dyDescent="0.25">
      <c r="A7" s="4" t="s">
        <v>6</v>
      </c>
      <c r="B7" s="5"/>
      <c r="C7" s="5"/>
      <c r="D7" s="5"/>
      <c r="E7" s="5"/>
      <c r="F7" s="5">
        <v>12</v>
      </c>
      <c r="G7" s="5">
        <v>12</v>
      </c>
      <c r="H7" s="5"/>
      <c r="I7" s="5">
        <v>12</v>
      </c>
      <c r="J7" s="5">
        <v>12</v>
      </c>
      <c r="K7" s="5">
        <v>12</v>
      </c>
      <c r="L7" s="5">
        <v>5</v>
      </c>
      <c r="M7" s="5"/>
      <c r="N7" s="5"/>
      <c r="O7" s="5">
        <v>12</v>
      </c>
      <c r="P7" s="5">
        <v>12</v>
      </c>
      <c r="Q7" s="5">
        <v>10</v>
      </c>
      <c r="R7" s="5">
        <v>12</v>
      </c>
      <c r="S7" s="5"/>
      <c r="T7" s="5">
        <v>12</v>
      </c>
      <c r="U7" s="5"/>
      <c r="V7" s="5"/>
      <c r="W7" s="5">
        <v>12</v>
      </c>
      <c r="X7" s="5"/>
      <c r="Y7" s="5">
        <v>12</v>
      </c>
      <c r="Z7" s="5">
        <v>12</v>
      </c>
      <c r="AA7" s="5">
        <v>12</v>
      </c>
      <c r="AB7" s="5"/>
      <c r="AC7" s="5">
        <v>12</v>
      </c>
      <c r="AD7" s="5"/>
      <c r="AE7" s="5"/>
      <c r="AF7" s="5"/>
      <c r="AG7" s="6">
        <f t="shared" si="0"/>
        <v>183</v>
      </c>
    </row>
    <row r="8" spans="1:33" x14ac:dyDescent="0.25">
      <c r="A8" s="4" t="s">
        <v>45</v>
      </c>
      <c r="B8" s="5">
        <v>11660.4</v>
      </c>
      <c r="C8" s="5"/>
      <c r="D8" s="5"/>
      <c r="E8" s="5"/>
      <c r="F8" s="5"/>
      <c r="G8" s="5"/>
      <c r="H8" s="5"/>
      <c r="I8" s="5"/>
      <c r="J8" s="5">
        <v>4248.34</v>
      </c>
      <c r="K8" s="5"/>
      <c r="L8" s="5"/>
      <c r="M8" s="5"/>
      <c r="N8" s="5"/>
      <c r="O8" s="5"/>
      <c r="P8" s="5"/>
      <c r="Q8" s="5"/>
      <c r="R8" s="5">
        <v>3310</v>
      </c>
      <c r="S8" s="5"/>
      <c r="T8" s="5"/>
      <c r="U8" s="5"/>
      <c r="V8" s="5"/>
      <c r="W8" s="5"/>
      <c r="X8" s="5">
        <v>2847.03</v>
      </c>
      <c r="Y8" s="5"/>
      <c r="Z8" s="5"/>
      <c r="AA8" s="5">
        <f>105+1600</f>
        <v>1705</v>
      </c>
      <c r="AB8" s="5"/>
      <c r="AC8" s="5"/>
      <c r="AD8" s="5"/>
      <c r="AE8" s="5"/>
      <c r="AF8" s="5"/>
      <c r="AG8" s="6">
        <f t="shared" si="0"/>
        <v>23770.769999999997</v>
      </c>
    </row>
    <row r="9" spans="1:33" x14ac:dyDescent="0.25">
      <c r="A9" s="4" t="s">
        <v>8</v>
      </c>
      <c r="B9" s="5"/>
      <c r="C9" s="5">
        <f>140+196.32+980.54+160.8+69</f>
        <v>1546.6599999999999</v>
      </c>
      <c r="D9" s="5">
        <f>691.36+2430</f>
        <v>3121.36</v>
      </c>
      <c r="E9" s="5"/>
      <c r="F9" s="5"/>
      <c r="G9" s="5"/>
      <c r="H9" s="5">
        <f>1312.12+40</f>
        <v>1352.12</v>
      </c>
      <c r="I9" s="5">
        <v>172.76</v>
      </c>
      <c r="J9" s="5"/>
      <c r="K9" s="5">
        <v>10</v>
      </c>
      <c r="L9" s="5"/>
      <c r="M9" s="5"/>
      <c r="N9" s="5"/>
      <c r="O9" s="5"/>
      <c r="P9" s="5">
        <f>850+601.27</f>
        <v>1451.27</v>
      </c>
      <c r="Q9" s="5"/>
      <c r="R9" s="5"/>
      <c r="S9" s="5"/>
      <c r="T9" s="5">
        <f>43</f>
        <v>43</v>
      </c>
      <c r="U9" s="5"/>
      <c r="V9" s="5"/>
      <c r="W9" s="5"/>
      <c r="X9" s="5">
        <f>1174+20</f>
        <v>1194</v>
      </c>
      <c r="Y9" s="5"/>
      <c r="Z9" s="5"/>
      <c r="AA9" s="5"/>
      <c r="AB9" s="5">
        <v>13</v>
      </c>
      <c r="AC9" s="5"/>
      <c r="AD9" s="5"/>
      <c r="AE9" s="5"/>
      <c r="AF9" s="5">
        <v>904</v>
      </c>
      <c r="AG9" s="6">
        <f t="shared" si="0"/>
        <v>9808.17</v>
      </c>
    </row>
    <row r="10" spans="1:33" x14ac:dyDescent="0.25">
      <c r="A10" s="4" t="s">
        <v>9</v>
      </c>
      <c r="B10" s="5"/>
      <c r="C10" s="5"/>
      <c r="D10" s="5">
        <v>180</v>
      </c>
      <c r="E10" s="5">
        <v>60</v>
      </c>
      <c r="F10" s="5">
        <v>60</v>
      </c>
      <c r="G10" s="5"/>
      <c r="H10" s="5">
        <v>180</v>
      </c>
      <c r="I10" s="5"/>
      <c r="J10" s="5">
        <v>135</v>
      </c>
      <c r="K10" s="5"/>
      <c r="L10" s="5">
        <v>75</v>
      </c>
      <c r="M10" s="5"/>
      <c r="N10" s="5">
        <v>60</v>
      </c>
      <c r="O10" s="5"/>
      <c r="P10" s="5">
        <f>980+195</f>
        <v>1175</v>
      </c>
      <c r="Q10" s="5"/>
      <c r="R10" s="5">
        <v>75</v>
      </c>
      <c r="S10" s="5"/>
      <c r="T10" s="5">
        <v>105</v>
      </c>
      <c r="U10" s="5">
        <v>30</v>
      </c>
      <c r="V10" s="5"/>
      <c r="W10" s="5">
        <v>60</v>
      </c>
      <c r="X10" s="5"/>
      <c r="Y10" s="5"/>
      <c r="Z10" s="5"/>
      <c r="AA10" s="5"/>
      <c r="AB10" s="5"/>
      <c r="AC10" s="5">
        <f>1600+90</f>
        <v>1690</v>
      </c>
      <c r="AD10" s="5"/>
      <c r="AE10" s="5"/>
      <c r="AF10" s="5"/>
      <c r="AG10" s="6">
        <f t="shared" si="0"/>
        <v>3885</v>
      </c>
    </row>
    <row r="11" spans="1:33" x14ac:dyDescent="0.25">
      <c r="A11" s="4" t="s">
        <v>10</v>
      </c>
      <c r="B11" s="5"/>
      <c r="C11" s="5"/>
      <c r="D11" s="5"/>
      <c r="E11" s="5"/>
      <c r="F11" s="5"/>
      <c r="G11" s="5">
        <v>2668.82</v>
      </c>
      <c r="H11" s="5"/>
      <c r="I11" s="5"/>
      <c r="J11" s="5"/>
      <c r="K11" s="5"/>
      <c r="L11" s="5"/>
      <c r="M11" s="5"/>
      <c r="N11" s="5"/>
      <c r="O11" s="5"/>
      <c r="P11" s="5"/>
      <c r="Q11" s="5">
        <v>5836.62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>
        <f t="shared" si="0"/>
        <v>8505.44</v>
      </c>
    </row>
    <row r="12" spans="1:33" x14ac:dyDescent="0.25">
      <c r="A12" s="4" t="s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>
        <f t="shared" si="0"/>
        <v>0</v>
      </c>
    </row>
    <row r="13" spans="1:33" x14ac:dyDescent="0.25">
      <c r="A13" s="4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145.29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>
        <f>5558.26+280.73</f>
        <v>5838.99</v>
      </c>
      <c r="AF13" s="5"/>
      <c r="AG13" s="6">
        <f t="shared" si="0"/>
        <v>5984.28</v>
      </c>
    </row>
    <row r="14" spans="1:33" x14ac:dyDescent="0.25">
      <c r="A14" s="4" t="s">
        <v>13</v>
      </c>
      <c r="B14" s="5"/>
      <c r="C14" s="5"/>
      <c r="D14" s="5"/>
      <c r="E14" s="5">
        <v>3910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>
        <v>3390</v>
      </c>
      <c r="Y14" s="5"/>
      <c r="Z14" s="5"/>
      <c r="AA14" s="5"/>
      <c r="AB14" s="5"/>
      <c r="AC14" s="5"/>
      <c r="AD14" s="5"/>
      <c r="AE14" s="5"/>
      <c r="AF14" s="5"/>
      <c r="AG14" s="6">
        <f t="shared" si="0"/>
        <v>7300</v>
      </c>
    </row>
    <row r="15" spans="1:33" x14ac:dyDescent="0.25">
      <c r="A15" s="4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>
        <f t="shared" si="0"/>
        <v>0</v>
      </c>
    </row>
    <row r="16" spans="1:33" x14ac:dyDescent="0.25">
      <c r="A16" s="4" t="s">
        <v>15</v>
      </c>
      <c r="B16" s="5"/>
      <c r="C16" s="5">
        <v>180</v>
      </c>
      <c r="D16" s="5"/>
      <c r="E16" s="5">
        <v>720</v>
      </c>
      <c r="F16" s="5"/>
      <c r="G16" s="5"/>
      <c r="H16" s="5"/>
      <c r="I16" s="5">
        <v>720</v>
      </c>
      <c r="J16" s="5">
        <v>900</v>
      </c>
      <c r="K16" s="5"/>
      <c r="L16" s="5"/>
      <c r="M16" s="5"/>
      <c r="N16" s="5">
        <f>900+720</f>
        <v>1620</v>
      </c>
      <c r="O16" s="5"/>
      <c r="P16" s="5"/>
      <c r="Q16" s="5"/>
      <c r="R16" s="5"/>
      <c r="S16" s="5"/>
      <c r="T16" s="5">
        <v>1080</v>
      </c>
      <c r="U16" s="5"/>
      <c r="V16" s="5"/>
      <c r="W16" s="5"/>
      <c r="X16" s="5"/>
      <c r="Y16" s="5"/>
      <c r="Z16" s="5">
        <v>1620</v>
      </c>
      <c r="AA16" s="5"/>
      <c r="AB16" s="5"/>
      <c r="AC16" s="5"/>
      <c r="AD16" s="5"/>
      <c r="AE16" s="5"/>
      <c r="AF16" s="5"/>
      <c r="AG16" s="6">
        <f t="shared" si="0"/>
        <v>6840</v>
      </c>
    </row>
    <row r="17" spans="1:33" x14ac:dyDescent="0.25">
      <c r="A17" s="4" t="s">
        <v>16</v>
      </c>
      <c r="B17" s="5">
        <v>0</v>
      </c>
      <c r="C17" s="5">
        <v>112</v>
      </c>
      <c r="D17" s="5"/>
      <c r="E17" s="5"/>
      <c r="F17" s="5">
        <f>438+140+227.5</f>
        <v>805.5</v>
      </c>
      <c r="G17" s="5"/>
      <c r="H17" s="5"/>
      <c r="I17" s="5"/>
      <c r="J17" s="5"/>
      <c r="K17" s="33">
        <v>1597.43</v>
      </c>
      <c r="L17" s="5"/>
      <c r="M17" s="5"/>
      <c r="N17" s="5">
        <v>264</v>
      </c>
      <c r="O17" s="5">
        <v>1180.75</v>
      </c>
      <c r="P17" s="5"/>
      <c r="Q17" s="5"/>
      <c r="R17" s="5">
        <f>10+299.34</f>
        <v>309.33999999999997</v>
      </c>
      <c r="S17" s="5">
        <f>420+28</f>
        <v>448</v>
      </c>
      <c r="T17" s="5">
        <f>49+78+6+140+60+20</f>
        <v>353</v>
      </c>
      <c r="U17" s="5">
        <v>130</v>
      </c>
      <c r="V17" s="5"/>
      <c r="W17" s="5">
        <f>8+15</f>
        <v>23</v>
      </c>
      <c r="X17" s="5">
        <f>227.5+7</f>
        <v>234.5</v>
      </c>
      <c r="Y17" s="5">
        <v>74.81</v>
      </c>
      <c r="Z17" s="5"/>
      <c r="AA17" s="5"/>
      <c r="AB17" s="5">
        <v>17.5</v>
      </c>
      <c r="AC17" s="5">
        <v>336</v>
      </c>
      <c r="AD17" s="5">
        <v>9</v>
      </c>
      <c r="AE17" s="5">
        <v>180</v>
      </c>
      <c r="AF17" s="5"/>
      <c r="AG17" s="6">
        <f t="shared" si="0"/>
        <v>6074.8300000000008</v>
      </c>
    </row>
    <row r="18" spans="1:33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>
        <f t="shared" si="0"/>
        <v>0</v>
      </c>
    </row>
    <row r="19" spans="1:33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8">
        <f>SUM(AG3:AG18)</f>
        <v>113879.11</v>
      </c>
    </row>
    <row r="22" spans="1:33" x14ac:dyDescent="0.25">
      <c r="A22" s="1" t="s">
        <v>17</v>
      </c>
      <c r="B22" s="2">
        <v>42583</v>
      </c>
      <c r="C22" s="2">
        <v>42584</v>
      </c>
      <c r="D22" s="2">
        <v>42585</v>
      </c>
      <c r="E22" s="2">
        <v>42586</v>
      </c>
      <c r="F22" s="2">
        <v>42587</v>
      </c>
      <c r="G22" s="2">
        <v>42588</v>
      </c>
      <c r="H22" s="2">
        <v>42589</v>
      </c>
      <c r="I22" s="2">
        <v>42590</v>
      </c>
      <c r="J22" s="2">
        <v>42591</v>
      </c>
      <c r="K22" s="2">
        <v>42592</v>
      </c>
      <c r="L22" s="2">
        <v>42593</v>
      </c>
      <c r="M22" s="2">
        <v>42594</v>
      </c>
      <c r="N22" s="2">
        <v>42595</v>
      </c>
      <c r="O22" s="2">
        <v>42596</v>
      </c>
      <c r="P22" s="2">
        <v>42597</v>
      </c>
      <c r="Q22" s="2">
        <v>42598</v>
      </c>
      <c r="R22" s="2">
        <v>42599</v>
      </c>
      <c r="S22" s="2">
        <v>42600</v>
      </c>
      <c r="T22" s="2">
        <v>42601</v>
      </c>
      <c r="U22" s="2">
        <v>42602</v>
      </c>
      <c r="V22" s="2">
        <v>42603</v>
      </c>
      <c r="W22" s="2">
        <v>42604</v>
      </c>
      <c r="X22" s="2">
        <v>42605</v>
      </c>
      <c r="Y22" s="2">
        <v>42606</v>
      </c>
      <c r="Z22" s="2">
        <v>42607</v>
      </c>
      <c r="AA22" s="2">
        <v>42608</v>
      </c>
      <c r="AB22" s="2">
        <v>42609</v>
      </c>
      <c r="AC22" s="2">
        <v>42610</v>
      </c>
      <c r="AD22" s="2">
        <v>42611</v>
      </c>
      <c r="AE22" s="2">
        <v>42612</v>
      </c>
      <c r="AF22" s="2">
        <v>42613</v>
      </c>
      <c r="AG22" s="3" t="s">
        <v>1</v>
      </c>
    </row>
    <row r="23" spans="1:33" x14ac:dyDescent="0.25">
      <c r="A23" s="9" t="s">
        <v>46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29">
        <v>871327</v>
      </c>
    </row>
    <row r="24" spans="1:33" x14ac:dyDescent="0.25">
      <c r="A24" s="4" t="s">
        <v>19</v>
      </c>
      <c r="B24" s="5">
        <f>3182.56</f>
        <v>3182.56</v>
      </c>
      <c r="C24" s="5">
        <f>460.27+823.65+1255.66</f>
        <v>2539.58</v>
      </c>
      <c r="D24" s="5"/>
      <c r="E24" s="5">
        <f>121.12</f>
        <v>121.12</v>
      </c>
      <c r="F24" s="5"/>
      <c r="G24" s="5">
        <f>1301.68+1291.61</f>
        <v>2593.29</v>
      </c>
      <c r="H24" s="5">
        <f>248.3+3379.58+2599.14+72.15+121.12</f>
        <v>6420.29</v>
      </c>
      <c r="I24" s="5">
        <f>743.02</f>
        <v>743.02</v>
      </c>
      <c r="J24" s="5">
        <f>733.21+280.36+3004.48+12338.6+930.5</f>
        <v>17287.150000000001</v>
      </c>
      <c r="K24" s="5">
        <f>436.05+356.88</f>
        <v>792.93000000000006</v>
      </c>
      <c r="L24" s="5">
        <f>375.19+1015.62</f>
        <v>1390.81</v>
      </c>
      <c r="M24" s="5">
        <f>40.92</f>
        <v>40.92</v>
      </c>
      <c r="N24" s="5">
        <v>4590</v>
      </c>
      <c r="O24" s="5"/>
      <c r="P24" s="5">
        <f>2116.12+193.12+1292.98+292.05+1754.73+5092.1+602.6</f>
        <v>11343.7</v>
      </c>
      <c r="Q24" s="5">
        <v>938.3</v>
      </c>
      <c r="R24" s="5">
        <f>1356.6+943.22+1122.82</f>
        <v>3422.6399999999994</v>
      </c>
      <c r="S24" s="5">
        <f>938.95+845+1069.13</f>
        <v>2853.08</v>
      </c>
      <c r="T24" s="5">
        <f>117.78+717.06+77.52+5131.82</f>
        <v>6044.1799999999994</v>
      </c>
      <c r="U24" s="5">
        <f>498.35</f>
        <v>498.35</v>
      </c>
      <c r="V24" s="5">
        <f>812.4+192.15</f>
        <v>1004.55</v>
      </c>
      <c r="W24" s="5">
        <f>200.38+498.05</f>
        <v>698.43000000000006</v>
      </c>
      <c r="X24" s="5">
        <f>933.79+4271.4</f>
        <v>5205.1899999999996</v>
      </c>
      <c r="Y24" s="5">
        <v>3877</v>
      </c>
      <c r="Z24" s="5">
        <v>2200</v>
      </c>
      <c r="AA24" s="5">
        <f>395.7+5.87</f>
        <v>401.57</v>
      </c>
      <c r="AB24" s="5">
        <f>1855.42+3571.7</f>
        <v>5427.12</v>
      </c>
      <c r="AC24" s="5">
        <f>830.1+610.66+280.75</f>
        <v>1721.51</v>
      </c>
      <c r="AD24" s="5">
        <f>830.11+307.66</f>
        <v>1137.77</v>
      </c>
      <c r="AE24" s="5">
        <f>424.74+406.31+557.08+95.93</f>
        <v>1484.0600000000002</v>
      </c>
      <c r="AF24" s="5">
        <f>145.35+259.7</f>
        <v>405.04999999999995</v>
      </c>
      <c r="AG24" s="6">
        <f>SUM(B24:AF24)</f>
        <v>88364.17</v>
      </c>
    </row>
    <row r="25" spans="1:33" x14ac:dyDescent="0.25">
      <c r="A25" s="4" t="s">
        <v>20</v>
      </c>
      <c r="B25" s="5">
        <v>820</v>
      </c>
      <c r="C25" s="5"/>
      <c r="D25" s="5">
        <f>5496+2228</f>
        <v>7724</v>
      </c>
      <c r="E25" s="5"/>
      <c r="F25" s="5"/>
      <c r="G25" s="5"/>
      <c r="H25" s="5"/>
      <c r="I25" s="5"/>
      <c r="J25" s="5"/>
      <c r="K25" s="5">
        <v>7032</v>
      </c>
      <c r="L25" s="5"/>
      <c r="M25" s="5"/>
      <c r="N25" s="5">
        <v>2343</v>
      </c>
      <c r="O25" s="5"/>
      <c r="P25" s="5">
        <v>5313.75</v>
      </c>
      <c r="Q25" s="5"/>
      <c r="R25" s="5"/>
      <c r="S25" s="5">
        <v>1134</v>
      </c>
      <c r="T25" s="5"/>
      <c r="U25" s="5"/>
      <c r="V25" s="5"/>
      <c r="W25" s="5">
        <v>3843.75</v>
      </c>
      <c r="X25" s="5">
        <v>2920</v>
      </c>
      <c r="Y25" s="5"/>
      <c r="Z25" s="5">
        <f>3072+1400</f>
        <v>4472</v>
      </c>
      <c r="AA25" s="5"/>
      <c r="AB25" s="5"/>
      <c r="AC25" s="5">
        <v>303</v>
      </c>
      <c r="AD25" s="5"/>
      <c r="AE25" s="5"/>
      <c r="AF25" s="5"/>
      <c r="AG25" s="6">
        <f>SUM(B25:AF25)</f>
        <v>35905.5</v>
      </c>
    </row>
    <row r="26" spans="1:33" x14ac:dyDescent="0.25">
      <c r="A26" s="4" t="s">
        <v>21</v>
      </c>
      <c r="B26" s="5"/>
      <c r="C26" s="5"/>
      <c r="D26" s="5"/>
      <c r="E26" s="5"/>
      <c r="F26" s="5"/>
      <c r="G26" s="5">
        <f>344.3+50</f>
        <v>394.3</v>
      </c>
      <c r="H26" s="5">
        <v>13.2</v>
      </c>
      <c r="I26" s="5"/>
      <c r="J26" s="5"/>
      <c r="K26" s="5"/>
      <c r="L26" s="5"/>
      <c r="M26" s="5">
        <v>140</v>
      </c>
      <c r="N26" s="5"/>
      <c r="O26" s="5"/>
      <c r="P26" s="5"/>
      <c r="Q26" s="5"/>
      <c r="R26" s="5"/>
      <c r="S26" s="5"/>
      <c r="T26" s="5"/>
      <c r="U26" s="5">
        <v>147.30000000000001</v>
      </c>
      <c r="V26" s="5"/>
      <c r="W26" s="5"/>
      <c r="X26" s="5"/>
      <c r="Y26" s="5"/>
      <c r="Z26" s="5"/>
      <c r="AA26" s="5"/>
      <c r="AB26" s="5"/>
      <c r="AC26" s="5"/>
      <c r="AD26" s="5">
        <f>66+23.3</f>
        <v>89.3</v>
      </c>
      <c r="AE26" s="5"/>
      <c r="AF26" s="5"/>
      <c r="AG26" s="6">
        <f>SUM(B26:AF26)</f>
        <v>784.09999999999991</v>
      </c>
    </row>
    <row r="27" spans="1:33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9">
        <f>SUM(AG24:AG26)</f>
        <v>125053.77</v>
      </c>
    </row>
    <row r="29" spans="1:33" x14ac:dyDescent="0.25">
      <c r="A29" s="16" t="s">
        <v>22</v>
      </c>
      <c r="AG29" s="20">
        <f>AG27+AG23-AG19</f>
        <v>882501.66</v>
      </c>
    </row>
  </sheetData>
  <dataValidations count="1">
    <dataValidation allowBlank="1" showInputMessage="1" showErrorMessage="1" promptTitle="ATENÇÃO" prompt="No RDS a linha de UH's Alugadas soma o valor das cortesias do dia. Verifique se existe UH's Cortesia e SUBTRAIA o valor antes de preencher" sqref="B6:AA6"/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opLeftCell="AB1" workbookViewId="0">
      <selection activeCell="AG1" sqref="AG1:AG1048576"/>
    </sheetView>
  </sheetViews>
  <sheetFormatPr defaultColWidth="16.28515625" defaultRowHeight="15" x14ac:dyDescent="0.25"/>
  <cols>
    <col min="1" max="1" width="51.28515625" customWidth="1"/>
    <col min="2" max="2" width="15.85546875" customWidth="1"/>
    <col min="3" max="3" width="13.42578125" bestFit="1" customWidth="1"/>
    <col min="4" max="4" width="13.42578125" customWidth="1"/>
    <col min="5" max="5" width="13.140625" bestFit="1" customWidth="1"/>
    <col min="6" max="6" width="11.42578125"/>
    <col min="7" max="7" width="13.5703125" bestFit="1" customWidth="1"/>
    <col min="8" max="9" width="11.42578125"/>
    <col min="10" max="10" width="17.28515625" customWidth="1"/>
    <col min="11" max="11" width="13.5703125" bestFit="1" customWidth="1"/>
    <col min="12" max="12" width="11.42578125"/>
    <col min="13" max="13" width="13.5703125" bestFit="1" customWidth="1"/>
    <col min="14" max="14" width="11.42578125"/>
    <col min="15" max="15" width="15" bestFit="1" customWidth="1"/>
    <col min="16" max="16" width="14.5703125" customWidth="1"/>
    <col min="17" max="17" width="14" customWidth="1"/>
    <col min="18" max="19" width="14.42578125" customWidth="1"/>
    <col min="20" max="23" width="13.5703125" bestFit="1" customWidth="1"/>
    <col min="24" max="24" width="11.42578125"/>
    <col min="25" max="29" width="13.5703125" bestFit="1" customWidth="1"/>
    <col min="30" max="30" width="11.7109375" bestFit="1" customWidth="1"/>
    <col min="31" max="31" width="11.42578125"/>
    <col min="32" max="32" width="24.85546875" bestFit="1" customWidth="1"/>
    <col min="33" max="33" width="16.28515625" customWidth="1"/>
  </cols>
  <sheetData>
    <row r="1" spans="1:32" ht="43.5" customHeight="1" x14ac:dyDescent="0.25"/>
    <row r="2" spans="1:32" x14ac:dyDescent="0.25">
      <c r="A2" s="1" t="s">
        <v>47</v>
      </c>
      <c r="B2" s="2">
        <v>42614</v>
      </c>
      <c r="C2" s="2">
        <v>42615</v>
      </c>
      <c r="D2" s="2">
        <v>42616</v>
      </c>
      <c r="E2" s="2">
        <v>42617</v>
      </c>
      <c r="F2" s="2">
        <v>42618</v>
      </c>
      <c r="G2" s="2">
        <v>42619</v>
      </c>
      <c r="H2" s="2">
        <v>42620</v>
      </c>
      <c r="I2" s="2">
        <v>42621</v>
      </c>
      <c r="J2" s="2">
        <v>42622</v>
      </c>
      <c r="K2" s="2">
        <v>42623</v>
      </c>
      <c r="L2" s="2">
        <v>42624</v>
      </c>
      <c r="M2" s="2">
        <v>42625</v>
      </c>
      <c r="N2" s="2">
        <v>42626</v>
      </c>
      <c r="O2" s="2">
        <v>42627</v>
      </c>
      <c r="P2" s="2">
        <v>42628</v>
      </c>
      <c r="Q2" s="2">
        <v>42629</v>
      </c>
      <c r="R2" s="2">
        <v>42630</v>
      </c>
      <c r="S2" s="2">
        <v>42631</v>
      </c>
      <c r="T2" s="2">
        <v>42632</v>
      </c>
      <c r="U2" s="2">
        <v>42633</v>
      </c>
      <c r="V2" s="2">
        <v>42634</v>
      </c>
      <c r="W2" s="2">
        <v>42635</v>
      </c>
      <c r="X2" s="2">
        <v>42636</v>
      </c>
      <c r="Y2" s="2">
        <v>42637</v>
      </c>
      <c r="Z2" s="2">
        <v>42638</v>
      </c>
      <c r="AA2" s="2">
        <v>42639</v>
      </c>
      <c r="AB2" s="2">
        <v>42640</v>
      </c>
      <c r="AC2" s="2">
        <v>42641</v>
      </c>
      <c r="AD2" s="2">
        <v>42642</v>
      </c>
      <c r="AE2" s="2">
        <v>42643</v>
      </c>
      <c r="AF2" s="3" t="s">
        <v>63</v>
      </c>
    </row>
    <row r="3" spans="1:32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>
        <v>3400</v>
      </c>
      <c r="K3" s="5"/>
      <c r="L3" s="5"/>
      <c r="M3" s="5"/>
      <c r="N3" s="5"/>
      <c r="O3" s="5"/>
      <c r="P3" s="5">
        <v>1720</v>
      </c>
      <c r="Q3" s="5"/>
      <c r="R3" s="5"/>
      <c r="S3" s="5"/>
      <c r="T3" s="5"/>
      <c r="U3" s="5"/>
      <c r="V3" s="5">
        <v>1134</v>
      </c>
      <c r="W3" s="5"/>
      <c r="X3" s="5"/>
      <c r="Y3" s="5"/>
      <c r="Z3" s="5"/>
      <c r="AA3" s="5"/>
      <c r="AB3" s="5"/>
      <c r="AC3" s="5"/>
      <c r="AD3" s="5"/>
      <c r="AE3" s="5"/>
      <c r="AF3" s="6">
        <f t="shared" ref="AF3:AF18" si="0">SUM(B3:AE3)</f>
        <v>6254</v>
      </c>
    </row>
    <row r="4" spans="1:32" x14ac:dyDescent="0.25">
      <c r="A4" s="4" t="s">
        <v>3</v>
      </c>
      <c r="B4" s="5"/>
      <c r="C4" s="5"/>
      <c r="D4" s="5"/>
      <c r="E4" s="5"/>
      <c r="F4" s="5"/>
      <c r="G4" s="5"/>
      <c r="H4" s="5"/>
      <c r="I4" s="5"/>
      <c r="J4" s="5">
        <v>550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>
        <v>1840</v>
      </c>
      <c r="W4" s="5"/>
      <c r="X4" s="5"/>
      <c r="Y4" s="5"/>
      <c r="Z4" s="5"/>
      <c r="AA4" s="5"/>
      <c r="AB4" s="5"/>
      <c r="AC4" s="5"/>
      <c r="AD4" s="5"/>
      <c r="AE4" s="5"/>
      <c r="AF4" s="6">
        <f t="shared" si="0"/>
        <v>2390</v>
      </c>
    </row>
    <row r="5" spans="1:32" x14ac:dyDescent="0.25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6">
        <f t="shared" si="0"/>
        <v>0</v>
      </c>
    </row>
    <row r="6" spans="1:32" x14ac:dyDescent="0.25">
      <c r="A6" s="4" t="s">
        <v>5</v>
      </c>
      <c r="B6" s="5"/>
      <c r="C6" s="5"/>
      <c r="D6" s="5"/>
      <c r="E6" s="5"/>
      <c r="F6" s="5"/>
      <c r="G6" s="5">
        <f>1092.94+155.12+60</f>
        <v>1308.06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>
        <v>680</v>
      </c>
      <c r="W6" s="5"/>
      <c r="X6" s="5"/>
      <c r="Y6" s="5"/>
      <c r="Z6" s="5"/>
      <c r="AA6" s="5"/>
      <c r="AB6" s="5"/>
      <c r="AC6" s="5"/>
      <c r="AD6" s="5"/>
      <c r="AE6" s="5"/>
      <c r="AF6" s="6">
        <f t="shared" si="0"/>
        <v>1988.06</v>
      </c>
    </row>
    <row r="7" spans="1:32" x14ac:dyDescent="0.25">
      <c r="A7" s="4" t="s">
        <v>6</v>
      </c>
      <c r="B7" s="5"/>
      <c r="C7" s="5"/>
      <c r="D7" s="5"/>
      <c r="E7" s="5">
        <v>12</v>
      </c>
      <c r="F7" s="5">
        <v>12</v>
      </c>
      <c r="G7" s="5">
        <v>12</v>
      </c>
      <c r="H7" s="5"/>
      <c r="I7" s="5"/>
      <c r="J7" s="5"/>
      <c r="K7" s="5">
        <v>12</v>
      </c>
      <c r="L7" s="5"/>
      <c r="M7" s="5"/>
      <c r="N7" s="5"/>
      <c r="O7" s="5"/>
      <c r="P7" s="5"/>
      <c r="Q7" s="5">
        <v>12</v>
      </c>
      <c r="R7" s="5">
        <v>10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6">
        <f t="shared" si="0"/>
        <v>70</v>
      </c>
    </row>
    <row r="8" spans="1:32" x14ac:dyDescent="0.25">
      <c r="A8" s="4" t="s">
        <v>42</v>
      </c>
      <c r="B8" s="5"/>
      <c r="C8" s="5"/>
      <c r="D8" s="5">
        <v>2528.35</v>
      </c>
      <c r="E8" s="5"/>
      <c r="F8" s="5"/>
      <c r="G8" s="5"/>
      <c r="H8" s="5"/>
      <c r="I8" s="5"/>
      <c r="J8" s="5"/>
      <c r="K8" s="5"/>
      <c r="L8" s="5"/>
      <c r="M8" s="5"/>
      <c r="N8" s="5"/>
      <c r="O8" s="5">
        <v>13997.39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6">
        <f t="shared" si="0"/>
        <v>16525.739999999998</v>
      </c>
    </row>
    <row r="9" spans="1:32" x14ac:dyDescent="0.25">
      <c r="A9" s="4" t="s">
        <v>8</v>
      </c>
      <c r="B9" s="5">
        <v>925.66</v>
      </c>
      <c r="C9" s="5">
        <f>546.5</f>
        <v>546.5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f>419.32+490+331.6+150.22</f>
        <v>1391.14</v>
      </c>
      <c r="U9" s="5"/>
      <c r="V9" s="5">
        <v>1890</v>
      </c>
      <c r="W9" s="5"/>
      <c r="X9" s="5"/>
      <c r="Y9" s="5"/>
      <c r="Z9" s="5"/>
      <c r="AA9" s="5"/>
      <c r="AB9" s="5"/>
      <c r="AC9" s="5"/>
      <c r="AD9" s="5"/>
      <c r="AE9" s="5"/>
      <c r="AF9" s="6">
        <f t="shared" si="0"/>
        <v>4753.3</v>
      </c>
    </row>
    <row r="10" spans="1:32" x14ac:dyDescent="0.25">
      <c r="A10" s="4" t="s">
        <v>9</v>
      </c>
      <c r="B10" s="5"/>
      <c r="C10" s="5"/>
      <c r="D10" s="5">
        <v>30</v>
      </c>
      <c r="E10" s="5">
        <v>180</v>
      </c>
      <c r="F10" s="5">
        <v>60</v>
      </c>
      <c r="G10" s="5">
        <v>105</v>
      </c>
      <c r="H10" s="5">
        <v>45</v>
      </c>
      <c r="I10" s="5">
        <v>45</v>
      </c>
      <c r="J10" s="5">
        <v>60</v>
      </c>
      <c r="K10" s="5">
        <v>45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6">
        <f t="shared" si="0"/>
        <v>570</v>
      </c>
    </row>
    <row r="11" spans="1:32" x14ac:dyDescent="0.25">
      <c r="A11" s="4" t="s">
        <v>10</v>
      </c>
      <c r="B11" s="5"/>
      <c r="C11" s="5"/>
      <c r="D11" s="5"/>
      <c r="E11" s="5"/>
      <c r="F11" s="5"/>
      <c r="G11" s="5"/>
      <c r="H11" s="5"/>
      <c r="I11" s="5"/>
      <c r="J11" s="5">
        <v>5249.16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>
        <v>3251.55</v>
      </c>
      <c r="W11" s="5"/>
      <c r="X11" s="5"/>
      <c r="Y11" s="5"/>
      <c r="Z11" s="5"/>
      <c r="AA11" s="5"/>
      <c r="AB11" s="5"/>
      <c r="AC11" s="5"/>
      <c r="AD11" s="5"/>
      <c r="AE11" s="5"/>
      <c r="AF11" s="6">
        <f t="shared" si="0"/>
        <v>8500.7099999999991</v>
      </c>
    </row>
    <row r="12" spans="1:32" x14ac:dyDescent="0.25">
      <c r="A12" s="4" t="s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6">
        <f t="shared" si="0"/>
        <v>0</v>
      </c>
    </row>
    <row r="13" spans="1:32" x14ac:dyDescent="0.25">
      <c r="A13" s="4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>
        <f>6961.28+323.62</f>
        <v>7284.9</v>
      </c>
      <c r="X13" s="5"/>
      <c r="Y13" s="5"/>
      <c r="Z13" s="5"/>
      <c r="AA13" s="5"/>
      <c r="AB13" s="5"/>
      <c r="AC13" s="5"/>
      <c r="AD13" s="5"/>
      <c r="AE13" s="5"/>
      <c r="AF13" s="6">
        <f t="shared" si="0"/>
        <v>7284.9</v>
      </c>
    </row>
    <row r="14" spans="1:32" x14ac:dyDescent="0.25">
      <c r="A14" s="4" t="s">
        <v>13</v>
      </c>
      <c r="B14" s="5">
        <v>17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2870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6">
        <f t="shared" si="0"/>
        <v>2887</v>
      </c>
    </row>
    <row r="15" spans="1:32" x14ac:dyDescent="0.25">
      <c r="A15" s="4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6">
        <f t="shared" si="0"/>
        <v>0</v>
      </c>
    </row>
    <row r="16" spans="1:32" x14ac:dyDescent="0.25">
      <c r="A16" s="4" t="s">
        <v>15</v>
      </c>
      <c r="B16" s="5"/>
      <c r="C16" s="5"/>
      <c r="D16" s="5"/>
      <c r="E16" s="5"/>
      <c r="F16" s="5"/>
      <c r="G16" s="5"/>
      <c r="H16" s="5"/>
      <c r="I16" s="5"/>
      <c r="J16" s="5">
        <v>720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6">
        <f t="shared" si="0"/>
        <v>720</v>
      </c>
    </row>
    <row r="17" spans="1:32" x14ac:dyDescent="0.25">
      <c r="A17" s="4" t="s">
        <v>16</v>
      </c>
      <c r="B17" s="5">
        <v>0</v>
      </c>
      <c r="C17" s="5">
        <f>649.5+16</f>
        <v>665.5</v>
      </c>
      <c r="D17" s="5"/>
      <c r="E17" s="5"/>
      <c r="F17" s="5"/>
      <c r="G17" s="5">
        <v>60</v>
      </c>
      <c r="H17" s="5"/>
      <c r="I17" s="5"/>
      <c r="J17" s="5">
        <v>160</v>
      </c>
      <c r="K17" s="5"/>
      <c r="L17" s="5"/>
      <c r="M17" s="5"/>
      <c r="N17" s="5"/>
      <c r="O17" s="5"/>
      <c r="P17" s="5"/>
      <c r="Q17" s="5"/>
      <c r="R17" s="5"/>
      <c r="S17" s="5"/>
      <c r="T17" s="5">
        <f>53+170.5+600</f>
        <v>823.5</v>
      </c>
      <c r="U17" s="5"/>
      <c r="V17" s="5"/>
      <c r="W17" s="5"/>
      <c r="X17" s="5"/>
      <c r="Y17" s="5"/>
      <c r="Z17" s="5">
        <f>833</f>
        <v>833</v>
      </c>
      <c r="AA17" s="5"/>
      <c r="AB17" s="5"/>
      <c r="AC17" s="5"/>
      <c r="AD17" s="5"/>
      <c r="AE17" s="5"/>
      <c r="AF17" s="6">
        <f t="shared" si="0"/>
        <v>2542</v>
      </c>
    </row>
    <row r="18" spans="1:32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6">
        <f t="shared" si="0"/>
        <v>0</v>
      </c>
    </row>
    <row r="19" spans="1:32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8">
        <f>SUM(AF3:AF18)</f>
        <v>54485.71</v>
      </c>
    </row>
    <row r="22" spans="1:32" x14ac:dyDescent="0.25">
      <c r="A22" s="1" t="s">
        <v>17</v>
      </c>
      <c r="B22" s="2">
        <v>42614</v>
      </c>
      <c r="C22" s="2">
        <v>42615</v>
      </c>
      <c r="D22" s="2">
        <v>42616</v>
      </c>
      <c r="E22" s="2">
        <v>42617</v>
      </c>
      <c r="F22" s="2">
        <v>42618</v>
      </c>
      <c r="G22" s="2">
        <v>42619</v>
      </c>
      <c r="H22" s="2">
        <v>42620</v>
      </c>
      <c r="I22" s="2">
        <v>42621</v>
      </c>
      <c r="J22" s="2">
        <v>42622</v>
      </c>
      <c r="K22" s="2">
        <v>42623</v>
      </c>
      <c r="L22" s="2">
        <v>42624</v>
      </c>
      <c r="M22" s="2">
        <v>42625</v>
      </c>
      <c r="N22" s="2">
        <v>42626</v>
      </c>
      <c r="O22" s="2">
        <v>42627</v>
      </c>
      <c r="P22" s="2">
        <v>42628</v>
      </c>
      <c r="Q22" s="2">
        <v>42629</v>
      </c>
      <c r="R22" s="2">
        <v>42630</v>
      </c>
      <c r="S22" s="2">
        <v>42631</v>
      </c>
      <c r="T22" s="2">
        <v>42632</v>
      </c>
      <c r="U22" s="2">
        <v>42633</v>
      </c>
      <c r="V22" s="2">
        <v>42634</v>
      </c>
      <c r="W22" s="2">
        <v>42635</v>
      </c>
      <c r="X22" s="2">
        <v>42636</v>
      </c>
      <c r="Y22" s="2">
        <v>42637</v>
      </c>
      <c r="Z22" s="2">
        <v>42638</v>
      </c>
      <c r="AA22" s="2">
        <v>42639</v>
      </c>
      <c r="AB22" s="2">
        <v>42640</v>
      </c>
      <c r="AC22" s="2">
        <v>42641</v>
      </c>
      <c r="AD22" s="2">
        <v>42642</v>
      </c>
      <c r="AE22" s="2">
        <v>42643</v>
      </c>
      <c r="AF22" s="3" t="s">
        <v>1</v>
      </c>
    </row>
    <row r="23" spans="1:32" x14ac:dyDescent="0.25">
      <c r="A23" s="9" t="s">
        <v>48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29">
        <v>882501.66</v>
      </c>
    </row>
    <row r="24" spans="1:32" x14ac:dyDescent="0.25">
      <c r="A24" s="4" t="s">
        <v>19</v>
      </c>
      <c r="B24" s="5"/>
      <c r="C24" s="5">
        <f>460.27+823.65+375.48+1255.66</f>
        <v>2915.0600000000004</v>
      </c>
      <c r="D24" s="5"/>
      <c r="E24" s="5">
        <f>121.12+1244.21+457.66</f>
        <v>1822.99</v>
      </c>
      <c r="F24" s="5">
        <f>276.9+43.12+48.06</f>
        <v>368.08</v>
      </c>
      <c r="G24" s="5">
        <v>230.23</v>
      </c>
      <c r="H24" s="5">
        <f>248.3+445.89+121.12</f>
        <v>815.31000000000006</v>
      </c>
      <c r="I24" s="5">
        <f>66.08</f>
        <v>66.08</v>
      </c>
      <c r="J24" s="5">
        <f>733.21+106</f>
        <v>839.21</v>
      </c>
      <c r="K24" s="5">
        <f>436.05+378.1+111.73+798</f>
        <v>1723.88</v>
      </c>
      <c r="L24" s="5"/>
      <c r="M24" s="5">
        <f>505.13</f>
        <v>505.13</v>
      </c>
      <c r="N24" s="5">
        <v>169.47</v>
      </c>
      <c r="O24" s="5"/>
      <c r="P24" s="5">
        <f>1292.98+602.6+179.94</f>
        <v>2075.52</v>
      </c>
      <c r="Q24" s="5">
        <f>938.3+3392.96+3818.5+700.68</f>
        <v>8850.44</v>
      </c>
      <c r="R24" s="5">
        <f>1356.6+943.22+535.08+1122.82</f>
        <v>3957.7199999999993</v>
      </c>
      <c r="S24" s="5">
        <v>3015.08</v>
      </c>
      <c r="T24" s="5">
        <v>148.16</v>
      </c>
      <c r="U24" s="5">
        <f>419.48+3505.17+3207.39+127.9</f>
        <v>7259.94</v>
      </c>
      <c r="V24" s="5">
        <f>5508.14+638.86</f>
        <v>6147</v>
      </c>
      <c r="W24" s="5">
        <v>498.05</v>
      </c>
      <c r="X24" s="5">
        <f>933.79</f>
        <v>933.79</v>
      </c>
      <c r="Y24" s="5">
        <f>2907.5+1041.67</f>
        <v>3949.17</v>
      </c>
      <c r="Z24" s="5">
        <f>49.41+358.14+765.02+456.5</f>
        <v>1629.07</v>
      </c>
      <c r="AA24" s="5">
        <v>3465.91</v>
      </c>
      <c r="AB24" s="5">
        <v>1855.42</v>
      </c>
      <c r="AC24" s="5">
        <f>830.1+425.3+243.8</f>
        <v>1499.2</v>
      </c>
      <c r="AD24" s="5">
        <f>830.11+21.32</f>
        <v>851.43000000000006</v>
      </c>
      <c r="AE24" s="5">
        <v>424.74</v>
      </c>
      <c r="AF24" s="6">
        <f>SUM(B24:AE24)</f>
        <v>56016.08</v>
      </c>
    </row>
    <row r="25" spans="1:32" x14ac:dyDescent="0.25">
      <c r="A25" s="4" t="s">
        <v>20</v>
      </c>
      <c r="B25" s="5">
        <f>700+700+9820</f>
        <v>11220</v>
      </c>
      <c r="C25" s="5"/>
      <c r="D25" s="5"/>
      <c r="E25" s="5"/>
      <c r="F25" s="5"/>
      <c r="G25" s="5"/>
      <c r="H25" s="5"/>
      <c r="I25" s="5"/>
      <c r="J25" s="5">
        <f>4415+3486+3112</f>
        <v>11013</v>
      </c>
      <c r="K25" s="5"/>
      <c r="L25" s="5"/>
      <c r="M25" s="5">
        <v>1964.55</v>
      </c>
      <c r="N25" s="5"/>
      <c r="O25" s="5">
        <f>1816+2632</f>
        <v>4448</v>
      </c>
      <c r="P25" s="5">
        <f>1000+2680+4648</f>
        <v>8328</v>
      </c>
      <c r="Q25" s="5">
        <v>1500</v>
      </c>
      <c r="R25" s="5"/>
      <c r="S25" s="5"/>
      <c r="T25" s="5"/>
      <c r="U25" s="5"/>
      <c r="V25" s="5">
        <v>1600</v>
      </c>
      <c r="W25" s="5"/>
      <c r="X25" s="5"/>
      <c r="Y25" s="5"/>
      <c r="Z25" s="5"/>
      <c r="AA25" s="5"/>
      <c r="AB25" s="5"/>
      <c r="AC25" s="5"/>
      <c r="AD25" s="5"/>
      <c r="AE25" s="5"/>
      <c r="AF25" s="6">
        <f>SUM(B25:AE25)</f>
        <v>40073.550000000003</v>
      </c>
    </row>
    <row r="26" spans="1:32" x14ac:dyDescent="0.25">
      <c r="A26" s="4" t="s"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6">
        <f>SUM(B26:AE26)</f>
        <v>0</v>
      </c>
    </row>
    <row r="27" spans="1:32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19">
        <f>SUM(AF24:AF26)</f>
        <v>96089.63</v>
      </c>
    </row>
    <row r="29" spans="1:32" x14ac:dyDescent="0.25">
      <c r="A29" s="16" t="s">
        <v>22</v>
      </c>
      <c r="AF29" s="20">
        <f>AF27+AF23-AF19</f>
        <v>924105.58000000007</v>
      </c>
    </row>
  </sheetData>
  <dataValidations count="1">
    <dataValidation allowBlank="1" showInputMessage="1" showErrorMessage="1" promptTitle="ATENÇÃO" prompt="No RDS a linha de UH's Alugadas soma o valor das cortesias do dia. Verifique se existe UH's Cortesia e SUBTRAIA o valor antes de preencher" sqref="B6:AA6"/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opLeftCell="AB1" workbookViewId="0">
      <selection activeCell="AG3" sqref="AG3"/>
    </sheetView>
  </sheetViews>
  <sheetFormatPr defaultColWidth="11.42578125" defaultRowHeight="15" x14ac:dyDescent="0.25"/>
  <cols>
    <col min="1" max="1" width="47" customWidth="1"/>
    <col min="3" max="3" width="13.42578125" bestFit="1" customWidth="1"/>
    <col min="4" max="4" width="12.85546875" bestFit="1" customWidth="1"/>
    <col min="6" max="7" width="12.85546875" bestFit="1" customWidth="1"/>
    <col min="10" max="10" width="12.85546875" bestFit="1" customWidth="1"/>
    <col min="12" max="12" width="12.85546875" bestFit="1" customWidth="1"/>
    <col min="14" max="14" width="12.85546875" bestFit="1" customWidth="1"/>
    <col min="15" max="15" width="12.28515625" bestFit="1" customWidth="1"/>
    <col min="16" max="16" width="12.85546875" bestFit="1" customWidth="1"/>
    <col min="17" max="17" width="12.140625" customWidth="1"/>
    <col min="18" max="19" width="12.85546875" bestFit="1" customWidth="1"/>
    <col min="20" max="20" width="11.7109375" bestFit="1" customWidth="1"/>
    <col min="23" max="23" width="12.85546875" bestFit="1" customWidth="1"/>
    <col min="28" max="28" width="12.85546875" customWidth="1"/>
    <col min="33" max="33" width="22.5703125" bestFit="1" customWidth="1"/>
  </cols>
  <sheetData>
    <row r="1" spans="1:33" ht="78.75" customHeight="1" x14ac:dyDescent="0.25"/>
    <row r="2" spans="1:33" x14ac:dyDescent="0.25">
      <c r="A2" s="1" t="s">
        <v>49</v>
      </c>
      <c r="B2" s="2">
        <v>42644</v>
      </c>
      <c r="C2" s="2">
        <v>42645</v>
      </c>
      <c r="D2" s="2">
        <v>42646</v>
      </c>
      <c r="E2" s="2">
        <v>42647</v>
      </c>
      <c r="F2" s="2">
        <v>42648</v>
      </c>
      <c r="G2" s="2">
        <v>42649</v>
      </c>
      <c r="H2" s="2">
        <v>42650</v>
      </c>
      <c r="I2" s="2">
        <v>42651</v>
      </c>
      <c r="J2" s="2">
        <v>42652</v>
      </c>
      <c r="K2" s="2">
        <v>42653</v>
      </c>
      <c r="L2" s="2">
        <v>42654</v>
      </c>
      <c r="M2" s="2">
        <v>42655</v>
      </c>
      <c r="N2" s="2">
        <v>42656</v>
      </c>
      <c r="O2" s="2">
        <v>42657</v>
      </c>
      <c r="P2" s="2">
        <v>42658</v>
      </c>
      <c r="Q2" s="2">
        <v>42659</v>
      </c>
      <c r="R2" s="2">
        <v>42660</v>
      </c>
      <c r="S2" s="2">
        <v>42661</v>
      </c>
      <c r="T2" s="2">
        <v>42662</v>
      </c>
      <c r="U2" s="2">
        <v>42663</v>
      </c>
      <c r="V2" s="2">
        <v>42664</v>
      </c>
      <c r="W2" s="2">
        <v>42665</v>
      </c>
      <c r="X2" s="2">
        <v>42666</v>
      </c>
      <c r="Y2" s="2">
        <v>42667</v>
      </c>
      <c r="Z2" s="2">
        <v>42668</v>
      </c>
      <c r="AA2" s="2">
        <v>42669</v>
      </c>
      <c r="AB2" s="2">
        <v>42670</v>
      </c>
      <c r="AC2" s="2">
        <v>42671</v>
      </c>
      <c r="AD2" s="2">
        <v>42672</v>
      </c>
      <c r="AE2" s="2">
        <v>42673</v>
      </c>
      <c r="AF2" s="2">
        <v>42674</v>
      </c>
      <c r="AG2" s="3" t="s">
        <v>68</v>
      </c>
    </row>
    <row r="3" spans="1:33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>
        <f t="shared" ref="AG3:AG18" si="0">SUM(B3:AF3)</f>
        <v>0</v>
      </c>
    </row>
    <row r="4" spans="1:33" x14ac:dyDescent="0.2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>
        <f t="shared" si="0"/>
        <v>0</v>
      </c>
    </row>
    <row r="5" spans="1:33" x14ac:dyDescent="0.25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>
        <f t="shared" si="0"/>
        <v>0</v>
      </c>
    </row>
    <row r="6" spans="1:33" x14ac:dyDescent="0.25">
      <c r="A6" s="4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>
        <f t="shared" si="0"/>
        <v>0</v>
      </c>
    </row>
    <row r="7" spans="1:33" x14ac:dyDescent="0.25">
      <c r="A7" s="4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>
        <f t="shared" si="0"/>
        <v>0</v>
      </c>
    </row>
    <row r="8" spans="1:33" x14ac:dyDescent="0.25">
      <c r="A8" s="4" t="s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>
        <f t="shared" si="0"/>
        <v>0</v>
      </c>
    </row>
    <row r="9" spans="1:33" x14ac:dyDescent="0.25">
      <c r="A9" s="4" t="s">
        <v>8</v>
      </c>
      <c r="B9" s="5"/>
      <c r="C9" s="5">
        <v>546.5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f>1954.62</f>
        <v>1954.62</v>
      </c>
      <c r="X9" s="5"/>
      <c r="Y9" s="5"/>
      <c r="Z9" s="5"/>
      <c r="AA9" s="5"/>
      <c r="AB9" s="5"/>
      <c r="AC9" s="5"/>
      <c r="AD9" s="5"/>
      <c r="AE9" s="5"/>
      <c r="AF9" s="5"/>
      <c r="AG9" s="6">
        <f t="shared" si="0"/>
        <v>2501.12</v>
      </c>
    </row>
    <row r="10" spans="1:33" x14ac:dyDescent="0.25">
      <c r="A10" s="4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>
        <f t="shared" si="0"/>
        <v>0</v>
      </c>
    </row>
    <row r="11" spans="1:33" x14ac:dyDescent="0.25">
      <c r="A11" s="4" t="s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>
        <f t="shared" si="0"/>
        <v>0</v>
      </c>
    </row>
    <row r="12" spans="1:33" x14ac:dyDescent="0.25">
      <c r="A12" s="4" t="s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>
        <f t="shared" si="0"/>
        <v>0</v>
      </c>
    </row>
    <row r="13" spans="1:33" x14ac:dyDescent="0.25">
      <c r="A13" s="4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>
        <f t="shared" si="0"/>
        <v>0</v>
      </c>
    </row>
    <row r="14" spans="1:33" x14ac:dyDescent="0.25">
      <c r="A14" s="4" t="s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>
        <f t="shared" si="0"/>
        <v>0</v>
      </c>
    </row>
    <row r="15" spans="1:33" x14ac:dyDescent="0.25">
      <c r="A15" s="4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>
        <f t="shared" si="0"/>
        <v>0</v>
      </c>
    </row>
    <row r="16" spans="1:33" x14ac:dyDescent="0.25">
      <c r="A16" s="4" t="s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>
        <f t="shared" si="0"/>
        <v>0</v>
      </c>
    </row>
    <row r="17" spans="1:33" x14ac:dyDescent="0.25">
      <c r="A17" s="4" t="s">
        <v>16</v>
      </c>
      <c r="B17" s="5">
        <v>0</v>
      </c>
      <c r="C17" s="5">
        <v>649.5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>
        <v>833</v>
      </c>
      <c r="AA17" s="5"/>
      <c r="AB17" s="5"/>
      <c r="AC17" s="5"/>
      <c r="AD17" s="5"/>
      <c r="AE17" s="5"/>
      <c r="AF17" s="5"/>
      <c r="AG17" s="6">
        <f t="shared" si="0"/>
        <v>1482.5</v>
      </c>
    </row>
    <row r="18" spans="1:33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>
        <f t="shared" si="0"/>
        <v>0</v>
      </c>
    </row>
    <row r="19" spans="1:33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8">
        <f>SUM(AG3:AG18)</f>
        <v>3983.62</v>
      </c>
    </row>
    <row r="22" spans="1:33" x14ac:dyDescent="0.25">
      <c r="A22" s="1" t="s">
        <v>17</v>
      </c>
      <c r="B22" s="2">
        <v>42644</v>
      </c>
      <c r="C22" s="2">
        <v>42645</v>
      </c>
      <c r="D22" s="2">
        <v>42646</v>
      </c>
      <c r="E22" s="2">
        <v>42647</v>
      </c>
      <c r="F22" s="2">
        <v>42648</v>
      </c>
      <c r="G22" s="2">
        <v>42649</v>
      </c>
      <c r="H22" s="2">
        <v>42650</v>
      </c>
      <c r="I22" s="2">
        <v>42651</v>
      </c>
      <c r="J22" s="2">
        <v>42652</v>
      </c>
      <c r="K22" s="2">
        <v>42653</v>
      </c>
      <c r="L22" s="2">
        <v>42654</v>
      </c>
      <c r="M22" s="2">
        <v>42655</v>
      </c>
      <c r="N22" s="2">
        <v>42656</v>
      </c>
      <c r="O22" s="2">
        <v>42657</v>
      </c>
      <c r="P22" s="2">
        <v>42658</v>
      </c>
      <c r="Q22" s="2">
        <v>42659</v>
      </c>
      <c r="R22" s="2">
        <v>42660</v>
      </c>
      <c r="S22" s="2">
        <v>42661</v>
      </c>
      <c r="T22" s="2">
        <v>42662</v>
      </c>
      <c r="U22" s="2">
        <v>42663</v>
      </c>
      <c r="V22" s="2">
        <v>42664</v>
      </c>
      <c r="W22" s="2">
        <v>42665</v>
      </c>
      <c r="X22" s="2">
        <v>42666</v>
      </c>
      <c r="Y22" s="2">
        <v>42667</v>
      </c>
      <c r="Z22" s="2">
        <v>42668</v>
      </c>
      <c r="AA22" s="2">
        <v>42669</v>
      </c>
      <c r="AB22" s="2">
        <v>42670</v>
      </c>
      <c r="AC22" s="2">
        <v>42671</v>
      </c>
      <c r="AD22" s="2">
        <v>42672</v>
      </c>
      <c r="AE22" s="2">
        <v>42673</v>
      </c>
      <c r="AF22" s="2">
        <v>42674</v>
      </c>
      <c r="AG22" s="3" t="s">
        <v>1</v>
      </c>
    </row>
    <row r="23" spans="1:33" x14ac:dyDescent="0.25">
      <c r="A23" s="9" t="s">
        <v>50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34"/>
    </row>
    <row r="24" spans="1:33" x14ac:dyDescent="0.25">
      <c r="A24" s="4" t="s">
        <v>19</v>
      </c>
      <c r="B24" s="5"/>
      <c r="C24" s="5">
        <f>460.27+823.65+1255.66+375.48</f>
        <v>2915.06</v>
      </c>
      <c r="D24" s="5">
        <f>1039.25</f>
        <v>1039.25</v>
      </c>
      <c r="E24" s="5">
        <v>205.23</v>
      </c>
      <c r="F24" s="5">
        <f>538.61+47.96+285.85+138.66</f>
        <v>1011.08</v>
      </c>
      <c r="G24" s="5">
        <f>977.72+138.66</f>
        <v>1116.3800000000001</v>
      </c>
      <c r="H24" s="5"/>
      <c r="I24" s="5"/>
      <c r="J24" s="5">
        <f>733.21+1610.5</f>
        <v>2343.71</v>
      </c>
      <c r="K24" s="5"/>
      <c r="L24" s="5">
        <f>1970.47+5829.06</f>
        <v>7799.5300000000007</v>
      </c>
      <c r="M24" s="5">
        <f>465.12+91.08</f>
        <v>556.20000000000005</v>
      </c>
      <c r="N24" s="5">
        <v>1721.23</v>
      </c>
      <c r="O24" s="5"/>
      <c r="P24" s="5">
        <f>1292.28+602.6</f>
        <v>1894.88</v>
      </c>
      <c r="Q24" s="5"/>
      <c r="R24" s="5">
        <f>943.22+1122.82+1841.1+428.68+25.19</f>
        <v>4361.0099999999993</v>
      </c>
      <c r="S24" s="5">
        <f>845+938.95+1069.13+1028.98+3359.77</f>
        <v>7241.83</v>
      </c>
      <c r="T24" s="5"/>
      <c r="U24" s="5"/>
      <c r="V24" s="5"/>
      <c r="W24" s="5">
        <v>498.05</v>
      </c>
      <c r="X24" s="5">
        <f>933.79</f>
        <v>933.79</v>
      </c>
      <c r="Y24" s="5"/>
      <c r="Z24" s="5"/>
      <c r="AA24" s="5"/>
      <c r="AB24" s="5">
        <v>1855.42</v>
      </c>
      <c r="AC24" s="5">
        <v>830.1</v>
      </c>
      <c r="AD24" s="5">
        <v>830.11</v>
      </c>
      <c r="AE24" s="5">
        <v>424.74</v>
      </c>
      <c r="AF24" s="5"/>
      <c r="AG24" s="6">
        <f>SUM(B24:AF24)</f>
        <v>37577.599999999991</v>
      </c>
    </row>
    <row r="25" spans="1:33" x14ac:dyDescent="0.25">
      <c r="A25" s="4" t="s"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>
        <f>SUM(B25:AF25)</f>
        <v>0</v>
      </c>
    </row>
    <row r="26" spans="1:33" x14ac:dyDescent="0.25">
      <c r="A26" s="4" t="s"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>
        <f>SUM(B26:AF26)</f>
        <v>0</v>
      </c>
    </row>
    <row r="27" spans="1:33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9">
        <f>SUM(AG24:AG26)</f>
        <v>37577.599999999991</v>
      </c>
    </row>
    <row r="29" spans="1:33" x14ac:dyDescent="0.25">
      <c r="A29" s="16" t="s">
        <v>22</v>
      </c>
      <c r="AG29" s="20">
        <f>AG27-AG19</f>
        <v>33593.979999999989</v>
      </c>
    </row>
  </sheetData>
  <dataValidations count="1">
    <dataValidation allowBlank="1" showInputMessage="1" showErrorMessage="1" promptTitle="ATENÇÃO" prompt="No RDS a linha de UH's Alugadas soma o valor das cortesias do dia. Verifique se existe UH's Cortesia e SUBTRAIA o valor antes de preencher" sqref="B6:AA6"/>
  </dataValidation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opLeftCell="AC1" workbookViewId="0">
      <selection activeCell="AG1" sqref="AG1"/>
    </sheetView>
  </sheetViews>
  <sheetFormatPr defaultColWidth="11.42578125" defaultRowHeight="15" x14ac:dyDescent="0.25"/>
  <cols>
    <col min="1" max="1" width="47" customWidth="1"/>
    <col min="3" max="3" width="13.42578125" bestFit="1" customWidth="1"/>
    <col min="4" max="4" width="12.85546875" bestFit="1" customWidth="1"/>
    <col min="15" max="15" width="12.28515625" bestFit="1" customWidth="1"/>
    <col min="17" max="17" width="12.140625" customWidth="1"/>
    <col min="18" max="19" width="12.85546875" bestFit="1" customWidth="1"/>
    <col min="20" max="20" width="11.7109375" bestFit="1" customWidth="1"/>
    <col min="23" max="23" width="12.85546875" bestFit="1" customWidth="1"/>
    <col min="28" max="28" width="13" customWidth="1"/>
    <col min="32" max="32" width="25.42578125" bestFit="1" customWidth="1"/>
  </cols>
  <sheetData>
    <row r="1" spans="1:32" ht="78.75" customHeight="1" x14ac:dyDescent="0.25"/>
    <row r="2" spans="1:32" x14ac:dyDescent="0.25">
      <c r="A2" s="1" t="s">
        <v>51</v>
      </c>
      <c r="B2" s="2">
        <v>42675</v>
      </c>
      <c r="C2" s="2">
        <v>42676</v>
      </c>
      <c r="D2" s="2">
        <v>42677</v>
      </c>
      <c r="E2" s="2">
        <v>42678</v>
      </c>
      <c r="F2" s="2">
        <v>42679</v>
      </c>
      <c r="G2" s="2">
        <v>42680</v>
      </c>
      <c r="H2" s="2">
        <v>42681</v>
      </c>
      <c r="I2" s="2">
        <v>42682</v>
      </c>
      <c r="J2" s="2">
        <v>42683</v>
      </c>
      <c r="K2" s="2">
        <v>42684</v>
      </c>
      <c r="L2" s="2">
        <v>42685</v>
      </c>
      <c r="M2" s="2">
        <v>42686</v>
      </c>
      <c r="N2" s="2">
        <v>42687</v>
      </c>
      <c r="O2" s="2">
        <v>42688</v>
      </c>
      <c r="P2" s="2">
        <v>42689</v>
      </c>
      <c r="Q2" s="2">
        <v>42690</v>
      </c>
      <c r="R2" s="2">
        <v>42691</v>
      </c>
      <c r="S2" s="2">
        <v>42692</v>
      </c>
      <c r="T2" s="2">
        <v>42693</v>
      </c>
      <c r="U2" s="2">
        <v>42694</v>
      </c>
      <c r="V2" s="2">
        <v>42695</v>
      </c>
      <c r="W2" s="2">
        <v>42696</v>
      </c>
      <c r="X2" s="2">
        <v>42697</v>
      </c>
      <c r="Y2" s="2">
        <v>42698</v>
      </c>
      <c r="Z2" s="2">
        <v>42699</v>
      </c>
      <c r="AA2" s="2">
        <v>42700</v>
      </c>
      <c r="AB2" s="2">
        <v>42701</v>
      </c>
      <c r="AC2" s="2">
        <v>42702</v>
      </c>
      <c r="AD2" s="2">
        <v>42703</v>
      </c>
      <c r="AE2" s="2">
        <v>42704</v>
      </c>
      <c r="AF2" s="3" t="s">
        <v>65</v>
      </c>
    </row>
    <row r="3" spans="1:32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>
        <f t="shared" ref="AF3:AF18" si="0">SUM(B3:AE3)</f>
        <v>0</v>
      </c>
    </row>
    <row r="4" spans="1:32" x14ac:dyDescent="0.2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>
        <f t="shared" si="0"/>
        <v>0</v>
      </c>
    </row>
    <row r="5" spans="1:32" x14ac:dyDescent="0.25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6">
        <f t="shared" si="0"/>
        <v>0</v>
      </c>
    </row>
    <row r="6" spans="1:32" x14ac:dyDescent="0.25">
      <c r="A6" s="4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6">
        <f t="shared" si="0"/>
        <v>0</v>
      </c>
    </row>
    <row r="7" spans="1:32" x14ac:dyDescent="0.25">
      <c r="A7" s="4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6">
        <f t="shared" si="0"/>
        <v>0</v>
      </c>
    </row>
    <row r="8" spans="1:32" x14ac:dyDescent="0.25">
      <c r="A8" s="4" t="s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6">
        <f t="shared" si="0"/>
        <v>0</v>
      </c>
    </row>
    <row r="9" spans="1:32" x14ac:dyDescent="0.25">
      <c r="A9" s="4" t="s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f>1954.62</f>
        <v>1954.62</v>
      </c>
      <c r="X9" s="5"/>
      <c r="Y9" s="5"/>
      <c r="Z9" s="5"/>
      <c r="AA9" s="5"/>
      <c r="AB9" s="5"/>
      <c r="AC9" s="5"/>
      <c r="AD9" s="5"/>
      <c r="AE9" s="5"/>
      <c r="AF9" s="6">
        <f t="shared" si="0"/>
        <v>1954.62</v>
      </c>
    </row>
    <row r="10" spans="1:32" x14ac:dyDescent="0.25">
      <c r="A10" s="4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6">
        <f t="shared" si="0"/>
        <v>0</v>
      </c>
    </row>
    <row r="11" spans="1:32" x14ac:dyDescent="0.25">
      <c r="A11" s="4" t="s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6">
        <f t="shared" si="0"/>
        <v>0</v>
      </c>
    </row>
    <row r="12" spans="1:32" x14ac:dyDescent="0.25">
      <c r="A12" s="4" t="s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6">
        <f t="shared" si="0"/>
        <v>0</v>
      </c>
    </row>
    <row r="13" spans="1:32" x14ac:dyDescent="0.25">
      <c r="A13" s="4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6">
        <f t="shared" si="0"/>
        <v>0</v>
      </c>
    </row>
    <row r="14" spans="1:32" x14ac:dyDescent="0.25">
      <c r="A14" s="4" t="s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6">
        <f t="shared" si="0"/>
        <v>0</v>
      </c>
    </row>
    <row r="15" spans="1:32" x14ac:dyDescent="0.25">
      <c r="A15" s="4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6">
        <f t="shared" si="0"/>
        <v>0</v>
      </c>
    </row>
    <row r="16" spans="1:32" x14ac:dyDescent="0.25">
      <c r="A16" s="4" t="s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6">
        <f t="shared" si="0"/>
        <v>0</v>
      </c>
    </row>
    <row r="17" spans="1:32" x14ac:dyDescent="0.25">
      <c r="A17" s="4" t="s">
        <v>16</v>
      </c>
      <c r="B17" s="5">
        <v>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6">
        <f t="shared" si="0"/>
        <v>0</v>
      </c>
    </row>
    <row r="18" spans="1:32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6">
        <f t="shared" si="0"/>
        <v>0</v>
      </c>
    </row>
    <row r="19" spans="1:32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8">
        <f>SUM(AF3:AF18)</f>
        <v>1954.62</v>
      </c>
    </row>
    <row r="22" spans="1:32" x14ac:dyDescent="0.25">
      <c r="A22" s="1" t="s">
        <v>17</v>
      </c>
      <c r="B22" s="2">
        <v>42675</v>
      </c>
      <c r="C22" s="2">
        <v>42676</v>
      </c>
      <c r="D22" s="2">
        <v>42677</v>
      </c>
      <c r="E22" s="2">
        <v>42678</v>
      </c>
      <c r="F22" s="2">
        <v>42679</v>
      </c>
      <c r="G22" s="2">
        <v>42680</v>
      </c>
      <c r="H22" s="2">
        <v>42681</v>
      </c>
      <c r="I22" s="2">
        <v>42682</v>
      </c>
      <c r="J22" s="2">
        <v>42683</v>
      </c>
      <c r="K22" s="2">
        <v>42684</v>
      </c>
      <c r="L22" s="2">
        <v>42685</v>
      </c>
      <c r="M22" s="2">
        <v>42686</v>
      </c>
      <c r="N22" s="2">
        <v>42687</v>
      </c>
      <c r="O22" s="2">
        <v>42688</v>
      </c>
      <c r="P22" s="2">
        <v>42689</v>
      </c>
      <c r="Q22" s="2">
        <v>42690</v>
      </c>
      <c r="R22" s="2">
        <v>42691</v>
      </c>
      <c r="S22" s="2">
        <v>42692</v>
      </c>
      <c r="T22" s="2">
        <v>42693</v>
      </c>
      <c r="U22" s="2">
        <v>42694</v>
      </c>
      <c r="V22" s="2">
        <v>42695</v>
      </c>
      <c r="W22" s="2">
        <v>42696</v>
      </c>
      <c r="X22" s="2">
        <v>42697</v>
      </c>
      <c r="Y22" s="2">
        <v>42698</v>
      </c>
      <c r="Z22" s="2">
        <v>42699</v>
      </c>
      <c r="AA22" s="2">
        <v>42700</v>
      </c>
      <c r="AB22" s="2">
        <v>42701</v>
      </c>
      <c r="AC22" s="2">
        <v>42702</v>
      </c>
      <c r="AD22" s="2">
        <v>42703</v>
      </c>
      <c r="AE22" s="2">
        <v>42704</v>
      </c>
      <c r="AF22" s="3" t="s">
        <v>1</v>
      </c>
    </row>
    <row r="23" spans="1:32" x14ac:dyDescent="0.25">
      <c r="A23" s="9" t="s">
        <v>52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34"/>
    </row>
    <row r="24" spans="1:32" x14ac:dyDescent="0.25">
      <c r="A24" s="4" t="s">
        <v>19</v>
      </c>
      <c r="B24" s="5"/>
      <c r="C24" s="5">
        <f>823.65+1255.66+375.48</f>
        <v>2454.79</v>
      </c>
      <c r="D24" s="5">
        <f>1039.25</f>
        <v>1039.25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v>602.6</v>
      </c>
      <c r="Q24" s="5"/>
      <c r="R24" s="5">
        <f>943.22+1122.82</f>
        <v>2066.04</v>
      </c>
      <c r="S24" s="5">
        <v>1069.1300000000001</v>
      </c>
      <c r="T24" s="5"/>
      <c r="U24" s="5"/>
      <c r="V24" s="5"/>
      <c r="W24" s="5">
        <v>498.05</v>
      </c>
      <c r="X24" s="5">
        <f>933.79</f>
        <v>933.79</v>
      </c>
      <c r="Y24" s="5"/>
      <c r="Z24" s="5"/>
      <c r="AA24" s="5"/>
      <c r="AB24" s="5">
        <v>1855.42</v>
      </c>
      <c r="AC24" s="5">
        <v>830.1</v>
      </c>
      <c r="AD24" s="5"/>
      <c r="AE24" s="5">
        <v>424.74</v>
      </c>
      <c r="AF24" s="6">
        <f>SUM(B24:AE24)</f>
        <v>11773.910000000002</v>
      </c>
    </row>
    <row r="25" spans="1:32" x14ac:dyDescent="0.25">
      <c r="A25" s="4" t="s"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6">
        <f>SUM(B25:AE25)</f>
        <v>0</v>
      </c>
    </row>
    <row r="26" spans="1:32" x14ac:dyDescent="0.25">
      <c r="A26" s="4" t="s"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6">
        <f>SUM(B26:AE26)</f>
        <v>0</v>
      </c>
    </row>
    <row r="27" spans="1:32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19">
        <f>SUM(AF24:AF26)</f>
        <v>11773.910000000002</v>
      </c>
    </row>
    <row r="29" spans="1:32" x14ac:dyDescent="0.25">
      <c r="A29" s="16" t="s">
        <v>22</v>
      </c>
      <c r="AF29" s="20">
        <f>AF27-AF19</f>
        <v>9819.2900000000009</v>
      </c>
    </row>
  </sheetData>
  <dataValidations count="1">
    <dataValidation allowBlank="1" showInputMessage="1" showErrorMessage="1" promptTitle="ATENÇÃO" prompt="No RDS a linha de UH's Alugadas soma o valor das cortesias do dia. Verifique se existe UH's Cortesia e SUBTRAIA o valor antes de preencher" sqref="B6:AA6"/>
  </dataValidation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opLeftCell="Y1" workbookViewId="0">
      <selection activeCell="AG3" sqref="AG3"/>
    </sheetView>
  </sheetViews>
  <sheetFormatPr defaultColWidth="11.42578125" defaultRowHeight="15" x14ac:dyDescent="0.25"/>
  <cols>
    <col min="1" max="1" width="47" customWidth="1"/>
    <col min="3" max="3" width="13.42578125" bestFit="1" customWidth="1"/>
    <col min="4" max="4" width="13.28515625" customWidth="1"/>
    <col min="15" max="15" width="12.28515625" bestFit="1" customWidth="1"/>
    <col min="17" max="17" width="12.140625" customWidth="1"/>
    <col min="19" max="19" width="12.28515625" bestFit="1" customWidth="1"/>
    <col min="20" max="20" width="11.7109375" bestFit="1" customWidth="1"/>
    <col min="23" max="23" width="12.28515625" bestFit="1" customWidth="1"/>
    <col min="28" max="28" width="13.5703125" customWidth="1"/>
    <col min="33" max="33" width="26" bestFit="1" customWidth="1"/>
  </cols>
  <sheetData>
    <row r="1" spans="1:33" ht="78.75" customHeight="1" x14ac:dyDescent="0.25"/>
    <row r="2" spans="1:33" x14ac:dyDescent="0.25">
      <c r="A2" s="1" t="s">
        <v>53</v>
      </c>
      <c r="B2" s="2">
        <v>42705</v>
      </c>
      <c r="C2" s="2">
        <v>42706</v>
      </c>
      <c r="D2" s="2">
        <v>42707</v>
      </c>
      <c r="E2" s="2">
        <v>42708</v>
      </c>
      <c r="F2" s="2">
        <v>42709</v>
      </c>
      <c r="G2" s="2">
        <v>42710</v>
      </c>
      <c r="H2" s="2">
        <v>42711</v>
      </c>
      <c r="I2" s="2">
        <v>42712</v>
      </c>
      <c r="J2" s="2">
        <v>42713</v>
      </c>
      <c r="K2" s="2">
        <v>42714</v>
      </c>
      <c r="L2" s="2">
        <v>42715</v>
      </c>
      <c r="M2" s="2">
        <v>42716</v>
      </c>
      <c r="N2" s="2">
        <v>42717</v>
      </c>
      <c r="O2" s="2">
        <v>42718</v>
      </c>
      <c r="P2" s="2">
        <v>42719</v>
      </c>
      <c r="Q2" s="2">
        <v>42720</v>
      </c>
      <c r="R2" s="2">
        <v>42721</v>
      </c>
      <c r="S2" s="2">
        <v>42722</v>
      </c>
      <c r="T2" s="2">
        <v>42723</v>
      </c>
      <c r="U2" s="2">
        <v>42724</v>
      </c>
      <c r="V2" s="2">
        <v>42725</v>
      </c>
      <c r="W2" s="2">
        <v>42726</v>
      </c>
      <c r="X2" s="2">
        <v>42727</v>
      </c>
      <c r="Y2" s="2">
        <v>42728</v>
      </c>
      <c r="Z2" s="2">
        <v>42729</v>
      </c>
      <c r="AA2" s="2">
        <v>42730</v>
      </c>
      <c r="AB2" s="2">
        <v>42731</v>
      </c>
      <c r="AC2" s="2">
        <v>42732</v>
      </c>
      <c r="AD2" s="2">
        <v>42733</v>
      </c>
      <c r="AE2" s="2">
        <v>42734</v>
      </c>
      <c r="AF2" s="2">
        <v>42735</v>
      </c>
      <c r="AG2" s="3" t="s">
        <v>69</v>
      </c>
    </row>
    <row r="3" spans="1:33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>
        <f t="shared" ref="AG3:AG18" si="0">SUM(B3:AF3)</f>
        <v>0</v>
      </c>
    </row>
    <row r="4" spans="1:33" x14ac:dyDescent="0.2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>
        <f t="shared" si="0"/>
        <v>0</v>
      </c>
    </row>
    <row r="5" spans="1:33" x14ac:dyDescent="0.25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>
        <f t="shared" si="0"/>
        <v>0</v>
      </c>
    </row>
    <row r="6" spans="1:33" x14ac:dyDescent="0.25">
      <c r="A6" s="4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>
        <f t="shared" si="0"/>
        <v>0</v>
      </c>
    </row>
    <row r="7" spans="1:33" x14ac:dyDescent="0.25">
      <c r="A7" s="4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>
        <f t="shared" si="0"/>
        <v>0</v>
      </c>
    </row>
    <row r="8" spans="1:33" x14ac:dyDescent="0.25">
      <c r="A8" s="4" t="s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>
        <f t="shared" si="0"/>
        <v>0</v>
      </c>
    </row>
    <row r="9" spans="1:33" x14ac:dyDescent="0.25">
      <c r="A9" s="4" t="s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v>1954.62</v>
      </c>
      <c r="X9" s="5"/>
      <c r="Y9" s="5"/>
      <c r="Z9" s="5"/>
      <c r="AA9" s="5"/>
      <c r="AB9" s="5"/>
      <c r="AC9" s="5"/>
      <c r="AD9" s="5"/>
      <c r="AE9" s="5"/>
      <c r="AF9" s="5"/>
      <c r="AG9" s="6">
        <f t="shared" si="0"/>
        <v>1954.62</v>
      </c>
    </row>
    <row r="10" spans="1:33" x14ac:dyDescent="0.25">
      <c r="A10" s="4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>
        <f t="shared" si="0"/>
        <v>0</v>
      </c>
    </row>
    <row r="11" spans="1:33" x14ac:dyDescent="0.25">
      <c r="A11" s="4" t="s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>
        <f t="shared" si="0"/>
        <v>0</v>
      </c>
    </row>
    <row r="12" spans="1:33" x14ac:dyDescent="0.25">
      <c r="A12" s="4" t="s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>
        <f t="shared" si="0"/>
        <v>0</v>
      </c>
    </row>
    <row r="13" spans="1:33" x14ac:dyDescent="0.25">
      <c r="A13" s="4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>
        <f t="shared" si="0"/>
        <v>0</v>
      </c>
    </row>
    <row r="14" spans="1:33" x14ac:dyDescent="0.25">
      <c r="A14" s="4" t="s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>
        <f t="shared" si="0"/>
        <v>0</v>
      </c>
    </row>
    <row r="15" spans="1:33" x14ac:dyDescent="0.25">
      <c r="A15" s="4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>
        <f t="shared" si="0"/>
        <v>0</v>
      </c>
    </row>
    <row r="16" spans="1:33" x14ac:dyDescent="0.25">
      <c r="A16" s="4" t="s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>
        <f t="shared" si="0"/>
        <v>0</v>
      </c>
    </row>
    <row r="17" spans="1:33" x14ac:dyDescent="0.25">
      <c r="A17" s="4" t="s">
        <v>16</v>
      </c>
      <c r="B17" s="5">
        <v>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>
        <f t="shared" si="0"/>
        <v>0</v>
      </c>
    </row>
    <row r="18" spans="1:33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>
        <f t="shared" si="0"/>
        <v>0</v>
      </c>
    </row>
    <row r="19" spans="1:33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8">
        <f>SUM(AG3:AG18)</f>
        <v>1954.62</v>
      </c>
    </row>
    <row r="22" spans="1:33" x14ac:dyDescent="0.25">
      <c r="A22" s="1" t="s">
        <v>17</v>
      </c>
      <c r="B22" s="2">
        <v>42705</v>
      </c>
      <c r="C22" s="2">
        <v>42706</v>
      </c>
      <c r="D22" s="2">
        <v>42707</v>
      </c>
      <c r="E22" s="2">
        <v>42708</v>
      </c>
      <c r="F22" s="2">
        <v>42709</v>
      </c>
      <c r="G22" s="2">
        <v>42710</v>
      </c>
      <c r="H22" s="2">
        <v>42711</v>
      </c>
      <c r="I22" s="2">
        <v>42712</v>
      </c>
      <c r="J22" s="2">
        <v>42713</v>
      </c>
      <c r="K22" s="2">
        <v>42714</v>
      </c>
      <c r="L22" s="2">
        <v>42715</v>
      </c>
      <c r="M22" s="2">
        <v>42716</v>
      </c>
      <c r="N22" s="2">
        <v>42717</v>
      </c>
      <c r="O22" s="2">
        <v>42718</v>
      </c>
      <c r="P22" s="2">
        <v>42719</v>
      </c>
      <c r="Q22" s="2">
        <v>42720</v>
      </c>
      <c r="R22" s="2">
        <v>42721</v>
      </c>
      <c r="S22" s="2">
        <v>42722</v>
      </c>
      <c r="T22" s="2">
        <v>42723</v>
      </c>
      <c r="U22" s="2">
        <v>42724</v>
      </c>
      <c r="V22" s="2">
        <v>42725</v>
      </c>
      <c r="W22" s="2">
        <v>42726</v>
      </c>
      <c r="X22" s="2">
        <v>42727</v>
      </c>
      <c r="Y22" s="2">
        <v>42728</v>
      </c>
      <c r="Z22" s="2">
        <v>42729</v>
      </c>
      <c r="AA22" s="2">
        <v>42730</v>
      </c>
      <c r="AB22" s="2">
        <v>42731</v>
      </c>
      <c r="AC22" s="2">
        <v>42732</v>
      </c>
      <c r="AD22" s="2">
        <v>42733</v>
      </c>
      <c r="AE22" s="2">
        <v>42734</v>
      </c>
      <c r="AF22" s="2">
        <v>42735</v>
      </c>
      <c r="AG22" s="3" t="s">
        <v>1</v>
      </c>
    </row>
    <row r="23" spans="1:33" x14ac:dyDescent="0.25">
      <c r="A23" s="9" t="s">
        <v>54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34"/>
    </row>
    <row r="24" spans="1:33" x14ac:dyDescent="0.25">
      <c r="A24" s="4" t="s">
        <v>19</v>
      </c>
      <c r="B24" s="5"/>
      <c r="C24" s="33">
        <f>1746.7+823.65+1255.66+375.48</f>
        <v>4201.49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v>602.6</v>
      </c>
      <c r="Q24" s="5"/>
      <c r="R24" s="5"/>
      <c r="S24" s="5">
        <v>1069.1300000000001</v>
      </c>
      <c r="T24" s="5"/>
      <c r="U24" s="5"/>
      <c r="V24" s="5"/>
      <c r="W24" s="5">
        <v>418.39</v>
      </c>
      <c r="X24" s="5">
        <f>933.79</f>
        <v>933.79</v>
      </c>
      <c r="Y24" s="5"/>
      <c r="Z24" s="5"/>
      <c r="AA24" s="5"/>
      <c r="AB24" s="5">
        <v>1855.42</v>
      </c>
      <c r="AC24" s="5">
        <v>830.1</v>
      </c>
      <c r="AD24" s="5"/>
      <c r="AE24" s="5">
        <v>424.74</v>
      </c>
      <c r="AF24" s="5"/>
      <c r="AG24" s="6">
        <f>SUM(B24:AF24)</f>
        <v>10335.66</v>
      </c>
    </row>
    <row r="25" spans="1:33" x14ac:dyDescent="0.25">
      <c r="A25" s="4" t="s"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>
        <f>SUM(B25:AF25)</f>
        <v>0</v>
      </c>
    </row>
    <row r="26" spans="1:33" x14ac:dyDescent="0.25">
      <c r="A26" s="4" t="s"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>
        <f>SUM(B26:AF26)</f>
        <v>0</v>
      </c>
    </row>
    <row r="27" spans="1:33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9">
        <f>SUM(AG24:AG26)</f>
        <v>10335.66</v>
      </c>
    </row>
    <row r="29" spans="1:33" x14ac:dyDescent="0.25">
      <c r="A29" s="16" t="s">
        <v>22</v>
      </c>
      <c r="AG29" s="20">
        <f>AG27-AG19</f>
        <v>8381.0400000000009</v>
      </c>
    </row>
  </sheetData>
  <dataValidations count="1">
    <dataValidation allowBlank="1" showInputMessage="1" showErrorMessage="1" promptTitle="ATENÇÃO" prompt="No RDS a linha de UH's Alugadas soma o valor das cortesias do dia. Verifique se existe UH's Cortesia e SUBTRAIA o valor antes de preencher" sqref="B6:AA6"/>
  </dataValidation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workbookViewId="0">
      <selection activeCell="D9" sqref="D9"/>
    </sheetView>
  </sheetViews>
  <sheetFormatPr defaultColWidth="11.42578125" defaultRowHeight="15" x14ac:dyDescent="0.25"/>
  <cols>
    <col min="1" max="1" width="47" customWidth="1"/>
    <col min="3" max="3" width="13.42578125" bestFit="1" customWidth="1"/>
    <col min="4" max="4" width="11.7109375" bestFit="1" customWidth="1"/>
    <col min="15" max="15" width="12.28515625" bestFit="1" customWidth="1"/>
    <col min="17" max="17" width="12.140625" customWidth="1"/>
    <col min="19" max="19" width="12.28515625" bestFit="1" customWidth="1"/>
    <col min="20" max="20" width="11.7109375" bestFit="1" customWidth="1"/>
    <col min="23" max="23" width="12.28515625" bestFit="1" customWidth="1"/>
    <col min="28" max="28" width="13.5703125" customWidth="1"/>
    <col min="33" max="33" width="12.28515625" bestFit="1" customWidth="1"/>
  </cols>
  <sheetData>
    <row r="1" spans="1:33" ht="78.75" customHeight="1" x14ac:dyDescent="0.25"/>
    <row r="2" spans="1:33" x14ac:dyDescent="0.25">
      <c r="A2" s="1" t="s">
        <v>53</v>
      </c>
      <c r="B2" s="2">
        <v>42736</v>
      </c>
      <c r="C2" s="2">
        <v>42737</v>
      </c>
      <c r="D2" s="2">
        <v>42738</v>
      </c>
      <c r="E2" s="2">
        <v>42739</v>
      </c>
      <c r="F2" s="2">
        <v>42740</v>
      </c>
      <c r="G2" s="2">
        <v>42741</v>
      </c>
      <c r="H2" s="2">
        <v>42742</v>
      </c>
      <c r="I2" s="2">
        <v>42743</v>
      </c>
      <c r="J2" s="2">
        <v>42744</v>
      </c>
      <c r="K2" s="2">
        <v>42745</v>
      </c>
      <c r="L2" s="2">
        <v>42746</v>
      </c>
      <c r="M2" s="2">
        <v>42747</v>
      </c>
      <c r="N2" s="2">
        <v>42748</v>
      </c>
      <c r="O2" s="2">
        <v>42749</v>
      </c>
      <c r="P2" s="2">
        <v>42750</v>
      </c>
      <c r="Q2" s="2">
        <v>42751</v>
      </c>
      <c r="R2" s="2">
        <v>42752</v>
      </c>
      <c r="S2" s="2">
        <v>42753</v>
      </c>
      <c r="T2" s="2">
        <v>42754</v>
      </c>
      <c r="U2" s="2">
        <v>42755</v>
      </c>
      <c r="V2" s="2">
        <v>42756</v>
      </c>
      <c r="W2" s="2">
        <v>42757</v>
      </c>
      <c r="X2" s="2">
        <v>42758</v>
      </c>
      <c r="Y2" s="2">
        <v>42759</v>
      </c>
      <c r="Z2" s="2">
        <v>42760</v>
      </c>
      <c r="AA2" s="2">
        <v>42761</v>
      </c>
      <c r="AB2" s="2">
        <v>42762</v>
      </c>
      <c r="AC2" s="2">
        <v>42763</v>
      </c>
      <c r="AD2" s="2">
        <v>42764</v>
      </c>
      <c r="AE2" s="2">
        <v>42765</v>
      </c>
      <c r="AF2" s="2">
        <v>42766</v>
      </c>
      <c r="AG2" s="3" t="s">
        <v>1</v>
      </c>
    </row>
    <row r="3" spans="1:33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>
        <f t="shared" ref="AG3:AG18" si="0">SUM(B3:AF3)</f>
        <v>0</v>
      </c>
    </row>
    <row r="4" spans="1:33" x14ac:dyDescent="0.2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>
        <f t="shared" si="0"/>
        <v>0</v>
      </c>
    </row>
    <row r="5" spans="1:33" x14ac:dyDescent="0.25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>
        <f t="shared" si="0"/>
        <v>0</v>
      </c>
    </row>
    <row r="6" spans="1:33" x14ac:dyDescent="0.25">
      <c r="A6" s="4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>
        <f t="shared" si="0"/>
        <v>0</v>
      </c>
    </row>
    <row r="7" spans="1:33" x14ac:dyDescent="0.25">
      <c r="A7" s="4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>
        <f t="shared" si="0"/>
        <v>0</v>
      </c>
    </row>
    <row r="8" spans="1:33" x14ac:dyDescent="0.25">
      <c r="A8" s="4" t="s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>
        <f t="shared" si="0"/>
        <v>0</v>
      </c>
    </row>
    <row r="9" spans="1:33" x14ac:dyDescent="0.25">
      <c r="A9" s="4" t="s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v>1954.62</v>
      </c>
      <c r="X9" s="5"/>
      <c r="Y9" s="5"/>
      <c r="Z9" s="5"/>
      <c r="AA9" s="5"/>
      <c r="AB9" s="5"/>
      <c r="AC9" s="5"/>
      <c r="AD9" s="5"/>
      <c r="AE9" s="5"/>
      <c r="AF9" s="5"/>
      <c r="AG9" s="6">
        <f t="shared" si="0"/>
        <v>1954.62</v>
      </c>
    </row>
    <row r="10" spans="1:33" x14ac:dyDescent="0.25">
      <c r="A10" s="4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>
        <f t="shared" si="0"/>
        <v>0</v>
      </c>
    </row>
    <row r="11" spans="1:33" x14ac:dyDescent="0.25">
      <c r="A11" s="4" t="s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>
        <f t="shared" si="0"/>
        <v>0</v>
      </c>
    </row>
    <row r="12" spans="1:33" x14ac:dyDescent="0.25">
      <c r="A12" s="4" t="s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>
        <f t="shared" si="0"/>
        <v>0</v>
      </c>
    </row>
    <row r="13" spans="1:33" x14ac:dyDescent="0.25">
      <c r="A13" s="4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>
        <f t="shared" si="0"/>
        <v>0</v>
      </c>
    </row>
    <row r="14" spans="1:33" x14ac:dyDescent="0.25">
      <c r="A14" s="4" t="s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>
        <f t="shared" si="0"/>
        <v>0</v>
      </c>
    </row>
    <row r="15" spans="1:33" x14ac:dyDescent="0.25">
      <c r="A15" s="4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>
        <f t="shared" si="0"/>
        <v>0</v>
      </c>
    </row>
    <row r="16" spans="1:33" x14ac:dyDescent="0.25">
      <c r="A16" s="4" t="s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>
        <f t="shared" si="0"/>
        <v>0</v>
      </c>
    </row>
    <row r="17" spans="1:33" x14ac:dyDescent="0.25">
      <c r="A17" s="4" t="s">
        <v>16</v>
      </c>
      <c r="B17" s="5">
        <v>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>
        <f t="shared" si="0"/>
        <v>0</v>
      </c>
    </row>
    <row r="18" spans="1:33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>
        <f t="shared" si="0"/>
        <v>0</v>
      </c>
    </row>
    <row r="19" spans="1:33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8">
        <f>SUM(AG3:AG18)</f>
        <v>1954.62</v>
      </c>
    </row>
    <row r="22" spans="1:33" x14ac:dyDescent="0.25">
      <c r="A22" s="1" t="s">
        <v>17</v>
      </c>
      <c r="B22" s="2">
        <v>42736</v>
      </c>
      <c r="C22" s="2">
        <v>42737</v>
      </c>
      <c r="D22" s="2">
        <v>42738</v>
      </c>
      <c r="E22" s="2">
        <v>42739</v>
      </c>
      <c r="F22" s="2">
        <v>42740</v>
      </c>
      <c r="G22" s="2">
        <v>42741</v>
      </c>
      <c r="H22" s="2">
        <v>42742</v>
      </c>
      <c r="I22" s="2">
        <v>42743</v>
      </c>
      <c r="J22" s="2">
        <v>42744</v>
      </c>
      <c r="K22" s="2">
        <v>42745</v>
      </c>
      <c r="L22" s="2">
        <v>42746</v>
      </c>
      <c r="M22" s="2">
        <v>42747</v>
      </c>
      <c r="N22" s="2">
        <v>42748</v>
      </c>
      <c r="O22" s="2">
        <v>42749</v>
      </c>
      <c r="P22" s="2">
        <v>42750</v>
      </c>
      <c r="Q22" s="2">
        <v>42751</v>
      </c>
      <c r="R22" s="2">
        <v>42752</v>
      </c>
      <c r="S22" s="2">
        <v>42753</v>
      </c>
      <c r="T22" s="2">
        <v>42754</v>
      </c>
      <c r="U22" s="2">
        <v>42755</v>
      </c>
      <c r="V22" s="2">
        <v>42756</v>
      </c>
      <c r="W22" s="2">
        <v>42757</v>
      </c>
      <c r="X22" s="2">
        <v>42758</v>
      </c>
      <c r="Y22" s="2">
        <v>42759</v>
      </c>
      <c r="Z22" s="2">
        <v>42760</v>
      </c>
      <c r="AA22" s="2">
        <v>42761</v>
      </c>
      <c r="AB22" s="2">
        <v>42762</v>
      </c>
      <c r="AC22" s="2">
        <v>42763</v>
      </c>
      <c r="AD22" s="2">
        <v>42764</v>
      </c>
      <c r="AE22" s="2">
        <v>42765</v>
      </c>
      <c r="AF22" s="2">
        <v>42766</v>
      </c>
      <c r="AG22" s="3" t="s">
        <v>1</v>
      </c>
    </row>
    <row r="23" spans="1:33" x14ac:dyDescent="0.25">
      <c r="A23" s="9" t="s">
        <v>18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34"/>
    </row>
    <row r="24" spans="1:33" x14ac:dyDescent="0.25">
      <c r="A24" s="4" t="s">
        <v>19</v>
      </c>
      <c r="B24" s="5"/>
      <c r="C24" s="33">
        <v>375.48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v>602.6</v>
      </c>
      <c r="Q24" s="5"/>
      <c r="R24" s="5"/>
      <c r="S24" s="5">
        <v>1069.1300000000001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>
        <f>SUM(B24:AF24)</f>
        <v>2047.21</v>
      </c>
    </row>
    <row r="25" spans="1:33" x14ac:dyDescent="0.25">
      <c r="A25" s="4" t="s"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>
        <f>SUM(B25:AF25)</f>
        <v>0</v>
      </c>
    </row>
    <row r="26" spans="1:33" x14ac:dyDescent="0.25">
      <c r="A26" s="4" t="s"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>
        <f>SUM(B26:AF26)</f>
        <v>0</v>
      </c>
    </row>
    <row r="27" spans="1:33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9">
        <f>SUM(AG24:AG26)</f>
        <v>2047.21</v>
      </c>
    </row>
    <row r="29" spans="1:33" x14ac:dyDescent="0.25">
      <c r="A29" s="16" t="s">
        <v>22</v>
      </c>
      <c r="AG29" s="20">
        <f>AG27-AG19</f>
        <v>92.590000000000146</v>
      </c>
    </row>
  </sheetData>
  <dataValidations count="1">
    <dataValidation allowBlank="1" showInputMessage="1" showErrorMessage="1" promptTitle="ATENÇÃO" prompt="No RDS a linha de UH's Alugadas soma o valor das cortesias do dia. Verifique se existe UH's Cortesia e SUBTRAIA o valor antes de preencher" sqref="B6:AA6"/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B2" sqref="B2"/>
    </sheetView>
  </sheetViews>
  <sheetFormatPr defaultColWidth="11.42578125" defaultRowHeight="15" x14ac:dyDescent="0.25"/>
  <cols>
    <col min="1" max="1" width="47" customWidth="1"/>
    <col min="2" max="2" width="25.5703125" customWidth="1"/>
    <col min="3" max="3" width="22.28515625" bestFit="1" customWidth="1"/>
    <col min="4" max="4" width="20.140625" customWidth="1"/>
  </cols>
  <sheetData>
    <row r="1" spans="1:4" ht="78.75" customHeight="1" x14ac:dyDescent="0.25">
      <c r="B1" s="36" t="str">
        <f>VLOOKUP(B2,Planilha2!$A$1:$B$12,2,0)</f>
        <v>08-2016</v>
      </c>
      <c r="C1" s="36" t="str">
        <f>VLOOKUP(C2,Planilha2!$A$1:$B$12,2,0)</f>
        <v>08-2016</v>
      </c>
    </row>
    <row r="2" spans="1:4" x14ac:dyDescent="0.25">
      <c r="A2" s="1" t="s">
        <v>53</v>
      </c>
      <c r="B2" s="2" t="s">
        <v>62</v>
      </c>
      <c r="C2" s="2" t="s">
        <v>62</v>
      </c>
      <c r="D2" s="3" t="s">
        <v>1</v>
      </c>
    </row>
    <row r="3" spans="1:4" x14ac:dyDescent="0.25">
      <c r="A3" s="4" t="s">
        <v>2</v>
      </c>
      <c r="B3" s="38">
        <f ca="1">INDEX(INDIRECT("'"&amp;$B$1&amp;"'!A2:AG40"),MATCH($A3,INDIRECT("'"&amp;$B$1&amp;"'!A2:A40"),0),MATCH(B$2,INDIRECT("'"&amp;$B$1&amp;"'!A2:AG2")))</f>
        <v>26578.5</v>
      </c>
      <c r="C3" s="38">
        <f ca="1">INDEX(INDIRECT("'"&amp;$C$1&amp;"'!A2:AG40"),MATCH($A3,INDIRECT("'"&amp;$C$1&amp;"'!A2:A40"),0),MATCH(B$2,INDIRECT("'"&amp;$C$1&amp;"'!A2:AG2")))</f>
        <v>26578.5</v>
      </c>
      <c r="D3" s="6">
        <f t="shared" ref="D3:D18" ca="1" si="0">SUM(B3:C3)</f>
        <v>53157</v>
      </c>
    </row>
    <row r="4" spans="1:4" x14ac:dyDescent="0.25">
      <c r="A4" s="4" t="s">
        <v>3</v>
      </c>
      <c r="B4" s="38">
        <f t="shared" ref="B4:B17" ca="1" si="1">INDEX(INDIRECT("'"&amp;$B$1&amp;"'!A2:AG40"),MATCH($A4,INDIRECT("'"&amp;$B$1&amp;"'!A2:A40"),0),MATCH(B$2,INDIRECT("'"&amp;$B$1&amp;"'!A2:AG2")))</f>
        <v>2480</v>
      </c>
      <c r="C4" s="38">
        <f t="shared" ref="C4:C17" ca="1" si="2">INDEX(INDIRECT("'"&amp;$C$1&amp;"'!A2:AG40"),MATCH($A4,INDIRECT("'"&amp;$C$1&amp;"'!A2:A40"),0),MATCH(B$2,INDIRECT("'"&amp;$C$1&amp;"'!A2:AG2")))</f>
        <v>2480</v>
      </c>
      <c r="D4" s="6">
        <f t="shared" ca="1" si="0"/>
        <v>4960</v>
      </c>
    </row>
    <row r="5" spans="1:4" x14ac:dyDescent="0.25">
      <c r="A5" s="4" t="s">
        <v>4</v>
      </c>
      <c r="B5" s="38">
        <f t="shared" ca="1" si="1"/>
        <v>10799.75</v>
      </c>
      <c r="C5" s="38">
        <f t="shared" ca="1" si="2"/>
        <v>10799.75</v>
      </c>
      <c r="D5" s="6">
        <f t="shared" ca="1" si="0"/>
        <v>21599.5</v>
      </c>
    </row>
    <row r="6" spans="1:4" x14ac:dyDescent="0.25">
      <c r="A6" s="4" t="s">
        <v>5</v>
      </c>
      <c r="B6" s="38">
        <f t="shared" ca="1" si="1"/>
        <v>1669.37</v>
      </c>
      <c r="C6" s="38">
        <f t="shared" ca="1" si="2"/>
        <v>1669.37</v>
      </c>
      <c r="D6" s="6">
        <f t="shared" ca="1" si="0"/>
        <v>3338.74</v>
      </c>
    </row>
    <row r="7" spans="1:4" x14ac:dyDescent="0.25">
      <c r="A7" s="4" t="s">
        <v>6</v>
      </c>
      <c r="B7" s="38">
        <f t="shared" ca="1" si="1"/>
        <v>183</v>
      </c>
      <c r="C7" s="38">
        <f t="shared" ca="1" si="2"/>
        <v>183</v>
      </c>
      <c r="D7" s="6">
        <f t="shared" ca="1" si="0"/>
        <v>366</v>
      </c>
    </row>
    <row r="8" spans="1:4" x14ac:dyDescent="0.25">
      <c r="A8" s="37" t="str">
        <f ca="1">INDIRECT("'"&amp;$B$1&amp;"'!A8")</f>
        <v>MERCADO DS / SÃO JOSE</v>
      </c>
      <c r="B8" s="38">
        <f t="shared" ca="1" si="1"/>
        <v>23770.769999999997</v>
      </c>
      <c r="C8" s="38">
        <f t="shared" ca="1" si="2"/>
        <v>23770.769999999997</v>
      </c>
      <c r="D8" s="6">
        <f t="shared" ca="1" si="0"/>
        <v>47541.539999999994</v>
      </c>
    </row>
    <row r="9" spans="1:4" x14ac:dyDescent="0.25">
      <c r="A9" s="4" t="s">
        <v>8</v>
      </c>
      <c r="B9" s="38">
        <f t="shared" ca="1" si="1"/>
        <v>9808.17</v>
      </c>
      <c r="C9" s="38">
        <f t="shared" ca="1" si="2"/>
        <v>9808.17</v>
      </c>
      <c r="D9" s="6">
        <f t="shared" ca="1" si="0"/>
        <v>19616.34</v>
      </c>
    </row>
    <row r="10" spans="1:4" x14ac:dyDescent="0.25">
      <c r="A10" s="4" t="s">
        <v>9</v>
      </c>
      <c r="B10" s="38">
        <f t="shared" ca="1" si="1"/>
        <v>3885</v>
      </c>
      <c r="C10" s="38">
        <f t="shared" ca="1" si="2"/>
        <v>3885</v>
      </c>
      <c r="D10" s="6">
        <f t="shared" ca="1" si="0"/>
        <v>7770</v>
      </c>
    </row>
    <row r="11" spans="1:4" x14ac:dyDescent="0.25">
      <c r="A11" s="4" t="s">
        <v>10</v>
      </c>
      <c r="B11" s="38">
        <f t="shared" ca="1" si="1"/>
        <v>8505.44</v>
      </c>
      <c r="C11" s="38">
        <f t="shared" ca="1" si="2"/>
        <v>8505.44</v>
      </c>
      <c r="D11" s="6">
        <f t="shared" ca="1" si="0"/>
        <v>17010.88</v>
      </c>
    </row>
    <row r="12" spans="1:4" x14ac:dyDescent="0.25">
      <c r="A12" s="4" t="s">
        <v>11</v>
      </c>
      <c r="B12" s="38">
        <f t="shared" ca="1" si="1"/>
        <v>0</v>
      </c>
      <c r="C12" s="38">
        <f t="shared" ca="1" si="2"/>
        <v>0</v>
      </c>
      <c r="D12" s="6">
        <f t="shared" ca="1" si="0"/>
        <v>0</v>
      </c>
    </row>
    <row r="13" spans="1:4" x14ac:dyDescent="0.25">
      <c r="A13" s="4" t="s">
        <v>12</v>
      </c>
      <c r="B13" s="38">
        <f t="shared" ca="1" si="1"/>
        <v>5984.28</v>
      </c>
      <c r="C13" s="38">
        <f t="shared" ca="1" si="2"/>
        <v>5984.28</v>
      </c>
      <c r="D13" s="6">
        <f t="shared" ca="1" si="0"/>
        <v>11968.56</v>
      </c>
    </row>
    <row r="14" spans="1:4" x14ac:dyDescent="0.25">
      <c r="A14" s="4" t="s">
        <v>13</v>
      </c>
      <c r="B14" s="38">
        <f t="shared" ca="1" si="1"/>
        <v>7300</v>
      </c>
      <c r="C14" s="38">
        <f t="shared" ca="1" si="2"/>
        <v>7300</v>
      </c>
      <c r="D14" s="6">
        <f t="shared" ca="1" si="0"/>
        <v>14600</v>
      </c>
    </row>
    <row r="15" spans="1:4" x14ac:dyDescent="0.25">
      <c r="A15" s="4" t="s">
        <v>14</v>
      </c>
      <c r="B15" s="38">
        <f t="shared" ca="1" si="1"/>
        <v>0</v>
      </c>
      <c r="C15" s="38">
        <f t="shared" ca="1" si="2"/>
        <v>0</v>
      </c>
      <c r="D15" s="6">
        <f t="shared" ca="1" si="0"/>
        <v>0</v>
      </c>
    </row>
    <row r="16" spans="1:4" x14ac:dyDescent="0.25">
      <c r="A16" s="4" t="s">
        <v>15</v>
      </c>
      <c r="B16" s="38">
        <f t="shared" ca="1" si="1"/>
        <v>6840</v>
      </c>
      <c r="C16" s="38">
        <f t="shared" ca="1" si="2"/>
        <v>6840</v>
      </c>
      <c r="D16" s="6">
        <f t="shared" ca="1" si="0"/>
        <v>13680</v>
      </c>
    </row>
    <row r="17" spans="1:4" x14ac:dyDescent="0.25">
      <c r="A17" s="4" t="s">
        <v>16</v>
      </c>
      <c r="B17" s="38">
        <f t="shared" ca="1" si="1"/>
        <v>6074.8300000000008</v>
      </c>
      <c r="C17" s="38">
        <f t="shared" ca="1" si="2"/>
        <v>6074.8300000000008</v>
      </c>
      <c r="D17" s="6">
        <f t="shared" ca="1" si="0"/>
        <v>12149.660000000002</v>
      </c>
    </row>
    <row r="18" spans="1:4" x14ac:dyDescent="0.25">
      <c r="A18" s="4"/>
      <c r="B18" s="5"/>
      <c r="C18" s="5"/>
      <c r="D18" s="6">
        <f t="shared" si="0"/>
        <v>0</v>
      </c>
    </row>
    <row r="19" spans="1:4" x14ac:dyDescent="0.25">
      <c r="A19" s="7"/>
      <c r="B19" s="7"/>
      <c r="C19" s="7"/>
      <c r="D19" s="8">
        <f ca="1">SUM(D3:D18)</f>
        <v>227758.22</v>
      </c>
    </row>
    <row r="22" spans="1:4" x14ac:dyDescent="0.25">
      <c r="A22" s="1" t="s">
        <v>17</v>
      </c>
      <c r="B22" s="2" t="str">
        <f>B2</f>
        <v>Total -Agosto 2016</v>
      </c>
      <c r="C22" s="2" t="str">
        <f>C2</f>
        <v>Total -Agosto 2016</v>
      </c>
      <c r="D22" s="3" t="s">
        <v>1</v>
      </c>
    </row>
    <row r="23" spans="1:4" x14ac:dyDescent="0.25">
      <c r="A23" s="9" t="s">
        <v>18</v>
      </c>
      <c r="B23" s="10"/>
      <c r="C23" s="11"/>
      <c r="D23" s="34"/>
    </row>
    <row r="24" spans="1:4" x14ac:dyDescent="0.25">
      <c r="A24" s="4" t="s">
        <v>19</v>
      </c>
      <c r="B24" s="5">
        <f>INDEX('01-2016'!$A$2:$AG$40,MATCH($A24,'01-2016'!$A$2:$A$40,0),MATCH(B$2,'01-2016'!$A$2:$AG$2))</f>
        <v>88810.880000000005</v>
      </c>
      <c r="C24" s="5">
        <f>INDEX('01-2016'!$A$2:$AG$40,MATCH($A24,'01-2016'!$A$2:$A$40,0),MATCH(C$2,'01-2016'!$A$2:$AG$2))</f>
        <v>88810.880000000005</v>
      </c>
      <c r="D24" s="6">
        <f>SUM(B24:C24)</f>
        <v>177621.76000000001</v>
      </c>
    </row>
    <row r="25" spans="1:4" x14ac:dyDescent="0.25">
      <c r="A25" s="4" t="s">
        <v>20</v>
      </c>
      <c r="B25" s="5">
        <f>INDEX('01-2016'!$A$2:$AG$40,MATCH($A25,'01-2016'!$A$2:$A$40,0),MATCH(B$2,'01-2016'!$A$2:$AG$2))</f>
        <v>114783.6</v>
      </c>
      <c r="C25" s="5">
        <f>INDEX('01-2016'!$A$2:$AG$40,MATCH($A25,'01-2016'!$A$2:$A$40,0),MATCH(C$2,'01-2016'!$A$2:$AG$2))</f>
        <v>114783.6</v>
      </c>
      <c r="D25" s="6">
        <f>SUM(B25:C25)</f>
        <v>229567.2</v>
      </c>
    </row>
    <row r="26" spans="1:4" x14ac:dyDescent="0.25">
      <c r="A26" s="4" t="s">
        <v>21</v>
      </c>
      <c r="B26" s="5">
        <f>INDEX('01-2016'!$A$2:$AG$40,MATCH($A26,'01-2016'!$A$2:$A$40,0),MATCH(B$2,'01-2016'!$A$2:$AG$2))</f>
        <v>164</v>
      </c>
      <c r="C26" s="5">
        <f>INDEX('01-2016'!$A$2:$AG$40,MATCH($A26,'01-2016'!$A$2:$A$40,0),MATCH(C$2,'01-2016'!$A$2:$AG$2))</f>
        <v>164</v>
      </c>
      <c r="D26" s="6">
        <f>SUM(B26:C26)</f>
        <v>328</v>
      </c>
    </row>
    <row r="27" spans="1:4" x14ac:dyDescent="0.25">
      <c r="A27" s="7"/>
      <c r="B27" s="7"/>
      <c r="C27" s="7"/>
      <c r="D27" s="19">
        <f>SUM(D24:D26)</f>
        <v>407516.96</v>
      </c>
    </row>
    <row r="29" spans="1:4" x14ac:dyDescent="0.25">
      <c r="A29" s="16" t="s">
        <v>22</v>
      </c>
      <c r="D29" s="20">
        <f ca="1">D27-D19</f>
        <v>179758.74000000002</v>
      </c>
    </row>
  </sheetData>
  <dataValidations count="1">
    <dataValidation type="list" allowBlank="1" showInputMessage="1" showErrorMessage="1" sqref="B2:C2">
      <formula1>TotMES</formula1>
    </dataValidation>
  </dataValidations>
  <pageMargins left="0.511811024" right="0.511811024" top="0.78740157499999996" bottom="0.78740157499999996" header="0.31496062000000002" footer="0.31496062000000002"/>
  <customProperties>
    <customPr name="LastActive" r:id="rId1"/>
  </customProperti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8"/>
  <sheetViews>
    <sheetView workbookViewId="0">
      <selection activeCell="AF1" sqref="B1:AF1048576"/>
    </sheetView>
  </sheetViews>
  <sheetFormatPr defaultColWidth="8.85546875" defaultRowHeight="15" x14ac:dyDescent="0.25"/>
  <cols>
    <col min="1" max="1" width="56" customWidth="1"/>
    <col min="2" max="2" width="11" hidden="1" customWidth="1"/>
    <col min="3" max="3" width="12.42578125" hidden="1" customWidth="1"/>
    <col min="4" max="5" width="12.28515625" hidden="1" customWidth="1"/>
    <col min="6" max="6" width="12.42578125" hidden="1" customWidth="1"/>
    <col min="7" max="7" width="11.7109375" hidden="1" customWidth="1"/>
    <col min="8" max="9" width="12.28515625" hidden="1" customWidth="1"/>
    <col min="10" max="10" width="11.7109375" hidden="1" customWidth="1"/>
    <col min="11" max="12" width="11.28515625" hidden="1" customWidth="1"/>
    <col min="13" max="13" width="12.42578125" hidden="1" customWidth="1"/>
    <col min="14" max="14" width="14.42578125" hidden="1" customWidth="1"/>
    <col min="15" max="16" width="12.85546875" hidden="1" customWidth="1"/>
    <col min="17" max="18" width="12.42578125" hidden="1" customWidth="1"/>
    <col min="19" max="19" width="13.28515625" hidden="1" customWidth="1"/>
    <col min="20" max="20" width="14.28515625" hidden="1" customWidth="1"/>
    <col min="21" max="21" width="13.28515625" hidden="1" customWidth="1"/>
    <col min="22" max="23" width="11.7109375" hidden="1" customWidth="1"/>
    <col min="24" max="24" width="10" hidden="1" customWidth="1"/>
    <col min="25" max="25" width="14.28515625" hidden="1" customWidth="1"/>
    <col min="26" max="26" width="12.42578125" hidden="1" customWidth="1"/>
    <col min="27" max="27" width="11.7109375" hidden="1" customWidth="1"/>
    <col min="28" max="28" width="12.28515625" hidden="1" customWidth="1"/>
    <col min="29" max="30" width="11.7109375" hidden="1" customWidth="1"/>
    <col min="31" max="31" width="12.28515625" hidden="1" customWidth="1"/>
    <col min="32" max="32" width="11.7109375" hidden="1" customWidth="1"/>
    <col min="33" max="33" width="24.42578125" customWidth="1"/>
  </cols>
  <sheetData>
    <row r="1" spans="1:33" ht="46.5" customHeight="1" x14ac:dyDescent="0.25"/>
    <row r="2" spans="1:33" x14ac:dyDescent="0.25">
      <c r="A2" s="1" t="s">
        <v>0</v>
      </c>
      <c r="B2" s="2">
        <v>42370</v>
      </c>
      <c r="C2" s="2">
        <v>42371</v>
      </c>
      <c r="D2" s="2">
        <v>42372</v>
      </c>
      <c r="E2" s="2">
        <v>42373</v>
      </c>
      <c r="F2" s="2">
        <v>42374</v>
      </c>
      <c r="G2" s="2">
        <v>42375</v>
      </c>
      <c r="H2" s="2">
        <v>42376</v>
      </c>
      <c r="I2" s="2">
        <v>42377</v>
      </c>
      <c r="J2" s="2">
        <v>42378</v>
      </c>
      <c r="K2" s="2">
        <v>42379</v>
      </c>
      <c r="L2" s="2">
        <v>42380</v>
      </c>
      <c r="M2" s="2">
        <v>42381</v>
      </c>
      <c r="N2" s="2">
        <v>42382</v>
      </c>
      <c r="O2" s="2">
        <v>42383</v>
      </c>
      <c r="P2" s="2">
        <v>42384</v>
      </c>
      <c r="Q2" s="2">
        <v>42385</v>
      </c>
      <c r="R2" s="2">
        <v>42386</v>
      </c>
      <c r="S2" s="2">
        <v>42387</v>
      </c>
      <c r="T2" s="2">
        <v>42388</v>
      </c>
      <c r="U2" s="2">
        <v>42389</v>
      </c>
      <c r="V2" s="2">
        <v>42390</v>
      </c>
      <c r="W2" s="2">
        <v>42391</v>
      </c>
      <c r="X2" s="2">
        <v>42392</v>
      </c>
      <c r="Y2" s="2">
        <v>42393</v>
      </c>
      <c r="Z2" s="2">
        <v>42394</v>
      </c>
      <c r="AA2" s="2">
        <v>42395</v>
      </c>
      <c r="AB2" s="2">
        <v>42396</v>
      </c>
      <c r="AC2" s="2">
        <v>42397</v>
      </c>
      <c r="AD2" s="2">
        <v>42398</v>
      </c>
      <c r="AE2" s="2">
        <v>42399</v>
      </c>
      <c r="AF2" s="2">
        <v>42400</v>
      </c>
      <c r="AG2" s="3" t="s">
        <v>55</v>
      </c>
    </row>
    <row r="3" spans="1:33" x14ac:dyDescent="0.25">
      <c r="A3" s="4" t="s">
        <v>2</v>
      </c>
      <c r="B3" s="5"/>
      <c r="C3" s="5"/>
      <c r="D3" s="5"/>
      <c r="E3" s="5">
        <v>4730</v>
      </c>
      <c r="F3" s="5"/>
      <c r="G3" s="5">
        <v>30</v>
      </c>
      <c r="H3" s="5">
        <v>1820</v>
      </c>
      <c r="I3" s="5"/>
      <c r="J3" s="5"/>
      <c r="K3" s="5"/>
      <c r="L3" s="5"/>
      <c r="M3" s="5"/>
      <c r="N3" s="5">
        <v>1580</v>
      </c>
      <c r="O3" s="5"/>
      <c r="P3" s="5"/>
      <c r="Q3" s="5"/>
      <c r="R3" s="5"/>
      <c r="S3" s="5">
        <v>2600</v>
      </c>
      <c r="T3" s="5">
        <v>50</v>
      </c>
      <c r="U3" s="5"/>
      <c r="V3" s="5"/>
      <c r="W3" s="5"/>
      <c r="X3" s="5"/>
      <c r="Y3" s="5"/>
      <c r="Z3" s="5"/>
      <c r="AA3" s="5"/>
      <c r="AB3" s="5">
        <v>1680</v>
      </c>
      <c r="AC3" s="5"/>
      <c r="AD3" s="5"/>
      <c r="AE3" s="5">
        <v>1120</v>
      </c>
      <c r="AF3" s="5"/>
      <c r="AG3" s="6">
        <f>SUM(B3:AF3)</f>
        <v>13610</v>
      </c>
    </row>
    <row r="4" spans="1:33" x14ac:dyDescent="0.2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>
        <f>180+180</f>
        <v>360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>
        <v>300</v>
      </c>
      <c r="AG4" s="6">
        <f t="shared" ref="AG4:AG17" si="0">SUM(B4:AF4)</f>
        <v>660</v>
      </c>
    </row>
    <row r="5" spans="1:33" x14ac:dyDescent="0.25">
      <c r="A5" s="4" t="s">
        <v>4</v>
      </c>
      <c r="B5" s="5"/>
      <c r="C5" s="5"/>
      <c r="D5" s="5"/>
      <c r="E5" s="5"/>
      <c r="F5" s="5">
        <v>2851</v>
      </c>
      <c r="G5" s="5"/>
      <c r="H5" s="5"/>
      <c r="I5" s="5"/>
      <c r="J5" s="5"/>
      <c r="K5" s="5"/>
      <c r="L5" s="5">
        <f>301+1594</f>
        <v>1895</v>
      </c>
      <c r="M5" s="5"/>
      <c r="N5" s="5"/>
      <c r="O5" s="5"/>
      <c r="P5" s="5"/>
      <c r="Q5" s="5"/>
      <c r="R5" s="5"/>
      <c r="S5" s="5">
        <v>1465</v>
      </c>
      <c r="T5" s="5"/>
      <c r="U5" s="5"/>
      <c r="V5" s="5"/>
      <c r="W5" s="5"/>
      <c r="X5" s="5"/>
      <c r="Y5" s="5"/>
      <c r="Z5" s="5"/>
      <c r="AA5" s="5"/>
      <c r="AB5" s="5">
        <v>1510</v>
      </c>
      <c r="AC5" s="5"/>
      <c r="AD5" s="5"/>
      <c r="AE5" s="5"/>
      <c r="AF5" s="5"/>
      <c r="AG5" s="6">
        <f t="shared" si="0"/>
        <v>7721</v>
      </c>
    </row>
    <row r="6" spans="1:33" x14ac:dyDescent="0.25">
      <c r="A6" s="4" t="s">
        <v>5</v>
      </c>
      <c r="B6" s="5"/>
      <c r="C6" s="5"/>
      <c r="D6" s="5"/>
      <c r="E6" s="5"/>
      <c r="F6" s="5">
        <f>251.56+70+268.69+175+175</f>
        <v>940.25</v>
      </c>
      <c r="G6" s="5">
        <v>320</v>
      </c>
      <c r="H6" s="5"/>
      <c r="I6" s="5"/>
      <c r="J6" s="5"/>
      <c r="K6" s="5"/>
      <c r="L6" s="5"/>
      <c r="M6" s="5"/>
      <c r="N6" s="5">
        <v>105</v>
      </c>
      <c r="O6" s="5"/>
      <c r="P6" s="5"/>
      <c r="Q6" s="5">
        <v>70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>
        <v>667.29</v>
      </c>
      <c r="AD6" s="5"/>
      <c r="AE6" s="5"/>
      <c r="AF6" s="5"/>
      <c r="AG6" s="6">
        <f t="shared" si="0"/>
        <v>2102.54</v>
      </c>
    </row>
    <row r="7" spans="1:33" x14ac:dyDescent="0.25">
      <c r="A7" s="4" t="s">
        <v>6</v>
      </c>
      <c r="B7" s="5"/>
      <c r="C7" s="5"/>
      <c r="D7" s="5"/>
      <c r="E7" s="5">
        <v>10</v>
      </c>
      <c r="F7" s="5"/>
      <c r="G7" s="5">
        <v>10</v>
      </c>
      <c r="H7" s="5">
        <v>12</v>
      </c>
      <c r="I7" s="5"/>
      <c r="J7" s="5">
        <v>12</v>
      </c>
      <c r="K7" s="5"/>
      <c r="L7" s="5">
        <v>10</v>
      </c>
      <c r="M7" s="5">
        <v>10</v>
      </c>
      <c r="N7" s="5">
        <v>10</v>
      </c>
      <c r="O7" s="5">
        <v>10</v>
      </c>
      <c r="P7" s="5">
        <v>10</v>
      </c>
      <c r="Q7" s="5">
        <v>10</v>
      </c>
      <c r="R7" s="5">
        <v>10</v>
      </c>
      <c r="S7" s="5"/>
      <c r="T7" s="5">
        <v>10</v>
      </c>
      <c r="U7" s="5"/>
      <c r="V7" s="5">
        <v>12</v>
      </c>
      <c r="W7" s="5"/>
      <c r="X7" s="5"/>
      <c r="Y7" s="5"/>
      <c r="Z7" s="5">
        <v>12</v>
      </c>
      <c r="AA7" s="5"/>
      <c r="AB7" s="5"/>
      <c r="AC7" s="5"/>
      <c r="AD7" s="5"/>
      <c r="AE7" s="5"/>
      <c r="AF7" s="5"/>
      <c r="AG7" s="6">
        <f t="shared" si="0"/>
        <v>148</v>
      </c>
    </row>
    <row r="8" spans="1:33" x14ac:dyDescent="0.25">
      <c r="A8" s="4" t="s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>
        <f>3239+3163+20</f>
        <v>6422</v>
      </c>
      <c r="M8" s="5"/>
      <c r="N8" s="5">
        <f>25+2000</f>
        <v>2025</v>
      </c>
      <c r="O8" s="5"/>
      <c r="P8" s="5"/>
      <c r="Q8" s="5"/>
      <c r="R8" s="5"/>
      <c r="S8" s="5">
        <v>9854.9</v>
      </c>
      <c r="T8" s="5"/>
      <c r="U8" s="5"/>
      <c r="V8" s="5"/>
      <c r="W8" s="5"/>
      <c r="X8" s="5"/>
      <c r="Y8" s="5"/>
      <c r="Z8" s="5"/>
      <c r="AA8" s="5"/>
      <c r="AB8" s="5">
        <f>216+82.2+107</f>
        <v>405.2</v>
      </c>
      <c r="AC8" s="5">
        <v>0</v>
      </c>
      <c r="AD8" s="5"/>
      <c r="AE8" s="5"/>
      <c r="AF8" s="5"/>
      <c r="AG8" s="6">
        <f t="shared" si="0"/>
        <v>18707.100000000002</v>
      </c>
    </row>
    <row r="9" spans="1:33" x14ac:dyDescent="0.25">
      <c r="A9" s="4" t="s">
        <v>8</v>
      </c>
      <c r="B9" s="5"/>
      <c r="C9" s="5">
        <v>11</v>
      </c>
      <c r="D9" s="5"/>
      <c r="E9" s="5">
        <v>18</v>
      </c>
      <c r="F9" s="5">
        <f>60+1224+422.93+3.25</f>
        <v>1710.18</v>
      </c>
      <c r="G9" s="5">
        <v>52</v>
      </c>
      <c r="H9" s="5">
        <f>48+4.9</f>
        <v>52.9</v>
      </c>
      <c r="I9" s="5"/>
      <c r="J9" s="5"/>
      <c r="K9" s="5"/>
      <c r="L9" s="5"/>
      <c r="M9" s="5">
        <v>20</v>
      </c>
      <c r="N9" s="5"/>
      <c r="O9" s="5"/>
      <c r="P9" s="5">
        <f>1122+887+167.88+561.42+675.63+460+1076.24+10+87.75+77.76+10</f>
        <v>5135.68</v>
      </c>
      <c r="Q9" s="5">
        <f>32+48+24</f>
        <v>104</v>
      </c>
      <c r="R9" s="5">
        <f>797.5+632+180</f>
        <v>1609.5</v>
      </c>
      <c r="S9" s="5"/>
      <c r="T9" s="5">
        <v>19.5</v>
      </c>
      <c r="U9" s="5"/>
      <c r="V9" s="5"/>
      <c r="W9" s="5">
        <v>1116.5999999999999</v>
      </c>
      <c r="X9" s="5"/>
      <c r="Y9" s="5">
        <v>19</v>
      </c>
      <c r="Z9" s="5"/>
      <c r="AA9" s="5">
        <v>26</v>
      </c>
      <c r="AB9" s="5">
        <v>550</v>
      </c>
      <c r="AC9" s="5"/>
      <c r="AD9" s="5">
        <f>24+396.74</f>
        <v>420.74</v>
      </c>
      <c r="AE9" s="5">
        <f>25+1020.35</f>
        <v>1045.3499999999999</v>
      </c>
      <c r="AF9" s="5"/>
      <c r="AG9" s="6">
        <f t="shared" si="0"/>
        <v>11910.45</v>
      </c>
    </row>
    <row r="10" spans="1:33" x14ac:dyDescent="0.25">
      <c r="A10" s="4" t="s">
        <v>9</v>
      </c>
      <c r="B10" s="5"/>
      <c r="C10" s="5"/>
      <c r="D10" s="5"/>
      <c r="E10" s="5">
        <f>32+17.15+285</f>
        <v>334.15</v>
      </c>
      <c r="F10" s="5">
        <v>450</v>
      </c>
      <c r="G10" s="5"/>
      <c r="H10" s="5">
        <v>270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480</v>
      </c>
      <c r="T10" s="5"/>
      <c r="U10" s="5"/>
      <c r="V10" s="5"/>
      <c r="W10" s="5"/>
      <c r="X10" s="5">
        <v>150</v>
      </c>
      <c r="Y10" s="5"/>
      <c r="Z10" s="5"/>
      <c r="AA10" s="5"/>
      <c r="AB10" s="5"/>
      <c r="AC10" s="5"/>
      <c r="AD10" s="5"/>
      <c r="AE10" s="5"/>
      <c r="AF10" s="5"/>
      <c r="AG10" s="6">
        <f t="shared" si="0"/>
        <v>1684.15</v>
      </c>
    </row>
    <row r="11" spans="1:33" x14ac:dyDescent="0.25">
      <c r="A11" s="4" t="s">
        <v>10</v>
      </c>
      <c r="B11" s="5"/>
      <c r="C11" s="5"/>
      <c r="D11" s="5"/>
      <c r="E11" s="5"/>
      <c r="F11" s="5"/>
      <c r="G11" s="5"/>
      <c r="H11" s="5"/>
      <c r="I11" s="5">
        <v>4424.5</v>
      </c>
      <c r="J11" s="5">
        <v>10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f>19.9+39.8+139.3</f>
        <v>199</v>
      </c>
      <c r="AC11" s="5"/>
      <c r="AD11" s="5"/>
      <c r="AE11" s="5"/>
      <c r="AF11" s="5"/>
      <c r="AG11" s="6">
        <f t="shared" si="0"/>
        <v>4633.5</v>
      </c>
    </row>
    <row r="12" spans="1:33" x14ac:dyDescent="0.25">
      <c r="A12" s="4" t="s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>
        <f t="shared" si="0"/>
        <v>0</v>
      </c>
    </row>
    <row r="13" spans="1:33" x14ac:dyDescent="0.25">
      <c r="A13" s="4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>
        <f>4797+390.99</f>
        <v>5187.99</v>
      </c>
      <c r="AE13" s="5"/>
      <c r="AF13" s="5"/>
      <c r="AG13" s="6">
        <f t="shared" si="0"/>
        <v>5187.99</v>
      </c>
    </row>
    <row r="14" spans="1:33" x14ac:dyDescent="0.25">
      <c r="A14" s="4" t="s">
        <v>13</v>
      </c>
      <c r="B14" s="5"/>
      <c r="C14" s="5"/>
      <c r="D14" s="5"/>
      <c r="E14" s="5"/>
      <c r="F14" s="5">
        <v>225</v>
      </c>
      <c r="G14" s="5"/>
      <c r="H14" s="5"/>
      <c r="I14" s="5"/>
      <c r="J14" s="5"/>
      <c r="K14" s="5"/>
      <c r="L14" s="5"/>
      <c r="M14" s="5"/>
      <c r="N14" s="5">
        <v>3120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v>9</v>
      </c>
      <c r="Z14" s="5"/>
      <c r="AA14" s="5"/>
      <c r="AB14" s="5">
        <v>2700</v>
      </c>
      <c r="AC14" s="5"/>
      <c r="AD14" s="5"/>
      <c r="AE14" s="5"/>
      <c r="AF14" s="5"/>
      <c r="AG14" s="6">
        <f t="shared" si="0"/>
        <v>6054</v>
      </c>
    </row>
    <row r="15" spans="1:33" x14ac:dyDescent="0.25">
      <c r="A15" s="4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>
        <f t="shared" si="0"/>
        <v>0</v>
      </c>
    </row>
    <row r="16" spans="1:33" x14ac:dyDescent="0.25">
      <c r="A16" s="4" t="s">
        <v>15</v>
      </c>
      <c r="B16" s="5"/>
      <c r="C16" s="5"/>
      <c r="D16" s="5">
        <f>60+55</f>
        <v>115</v>
      </c>
      <c r="E16" s="5"/>
      <c r="F16" s="5">
        <v>1440</v>
      </c>
      <c r="G16" s="5"/>
      <c r="H16" s="5"/>
      <c r="I16" s="5">
        <v>900</v>
      </c>
      <c r="J16" s="5"/>
      <c r="K16" s="5"/>
      <c r="L16" s="5"/>
      <c r="M16" s="5"/>
      <c r="N16" s="5"/>
      <c r="O16" s="5"/>
      <c r="P16" s="5"/>
      <c r="Q16" s="5"/>
      <c r="R16" s="5"/>
      <c r="S16" s="5">
        <v>1980</v>
      </c>
      <c r="T16" s="5"/>
      <c r="U16" s="5"/>
      <c r="V16" s="5"/>
      <c r="W16" s="5"/>
      <c r="X16" s="5"/>
      <c r="Y16" s="5"/>
      <c r="Z16" s="5"/>
      <c r="AA16" s="5"/>
      <c r="AB16" s="5">
        <f>720+720</f>
        <v>1440</v>
      </c>
      <c r="AC16" s="5"/>
      <c r="AD16" s="5"/>
      <c r="AE16" s="5"/>
      <c r="AF16" s="5"/>
      <c r="AG16" s="6">
        <f t="shared" si="0"/>
        <v>5875</v>
      </c>
    </row>
    <row r="17" spans="1:61" x14ac:dyDescent="0.25">
      <c r="A17" s="4" t="s">
        <v>16</v>
      </c>
      <c r="B17" s="5">
        <v>14</v>
      </c>
      <c r="C17" s="5"/>
      <c r="D17" s="5">
        <f>120+44</f>
        <v>164</v>
      </c>
      <c r="E17" s="5">
        <f>254.9+52+32</f>
        <v>338.9</v>
      </c>
      <c r="F17" s="5">
        <f>250+306</f>
        <v>556</v>
      </c>
      <c r="G17" s="5">
        <f>250+30</f>
        <v>280</v>
      </c>
      <c r="H17" s="5">
        <f>227.5+138+116+530</f>
        <v>1011.5</v>
      </c>
      <c r="I17" s="5"/>
      <c r="J17" s="5"/>
      <c r="K17" s="5"/>
      <c r="L17" s="5"/>
      <c r="M17" s="5">
        <f>100+0.75+25</f>
        <v>125.75</v>
      </c>
      <c r="N17" s="5">
        <f>55+150</f>
        <v>205</v>
      </c>
      <c r="O17" s="5">
        <f>68.75+180</f>
        <v>248.75</v>
      </c>
      <c r="P17" s="5"/>
      <c r="Q17" s="5"/>
      <c r="R17" s="5"/>
      <c r="S17" s="5">
        <v>20</v>
      </c>
      <c r="T17" s="5">
        <v>25</v>
      </c>
      <c r="U17" s="5">
        <f>38+365.5+975.54+1097.4+975.54+1097.4+945.54+731.6+182.9</f>
        <v>6409.42</v>
      </c>
      <c r="V17" s="5">
        <v>400</v>
      </c>
      <c r="W17" s="5">
        <v>540</v>
      </c>
      <c r="X17" s="5"/>
      <c r="Y17" s="5"/>
      <c r="Z17" s="5">
        <v>1454.58</v>
      </c>
      <c r="AA17" s="5">
        <f>57+16.5</f>
        <v>73.5</v>
      </c>
      <c r="AB17" s="5">
        <f>396.27+43.7</f>
        <v>439.96999999999997</v>
      </c>
      <c r="AC17" s="5">
        <v>28</v>
      </c>
      <c r="AD17" s="5">
        <f>253+249.96+370+450+1640</f>
        <v>2962.96</v>
      </c>
      <c r="AE17" s="5">
        <v>920</v>
      </c>
      <c r="AF17" s="5">
        <v>40</v>
      </c>
      <c r="AG17" s="6">
        <f t="shared" si="0"/>
        <v>16257.329999999998</v>
      </c>
    </row>
    <row r="18" spans="1:6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>
        <f>SUM(AG3:AG17)</f>
        <v>94551.06</v>
      </c>
    </row>
    <row r="21" spans="1:61" x14ac:dyDescent="0.25">
      <c r="A21" s="1" t="s">
        <v>17</v>
      </c>
      <c r="B21" s="2">
        <f>B2</f>
        <v>42370</v>
      </c>
      <c r="C21" s="2">
        <f t="shared" ref="C21:AG21" si="1">C2</f>
        <v>42371</v>
      </c>
      <c r="D21" s="2">
        <f t="shared" si="1"/>
        <v>42372</v>
      </c>
      <c r="E21" s="2">
        <f t="shared" si="1"/>
        <v>42373</v>
      </c>
      <c r="F21" s="2">
        <f t="shared" si="1"/>
        <v>42374</v>
      </c>
      <c r="G21" s="2">
        <f t="shared" si="1"/>
        <v>42375</v>
      </c>
      <c r="H21" s="2">
        <f t="shared" si="1"/>
        <v>42376</v>
      </c>
      <c r="I21" s="2">
        <f t="shared" si="1"/>
        <v>42377</v>
      </c>
      <c r="J21" s="2">
        <f t="shared" si="1"/>
        <v>42378</v>
      </c>
      <c r="K21" s="2">
        <f t="shared" si="1"/>
        <v>42379</v>
      </c>
      <c r="L21" s="2">
        <f t="shared" si="1"/>
        <v>42380</v>
      </c>
      <c r="M21" s="2">
        <f t="shared" si="1"/>
        <v>42381</v>
      </c>
      <c r="N21" s="2">
        <f t="shared" si="1"/>
        <v>42382</v>
      </c>
      <c r="O21" s="2">
        <f t="shared" si="1"/>
        <v>42383</v>
      </c>
      <c r="P21" s="2">
        <f t="shared" si="1"/>
        <v>42384</v>
      </c>
      <c r="Q21" s="2">
        <f t="shared" si="1"/>
        <v>42385</v>
      </c>
      <c r="R21" s="2">
        <f t="shared" si="1"/>
        <v>42386</v>
      </c>
      <c r="S21" s="2">
        <f t="shared" si="1"/>
        <v>42387</v>
      </c>
      <c r="T21" s="2">
        <f t="shared" si="1"/>
        <v>42388</v>
      </c>
      <c r="U21" s="2">
        <f t="shared" si="1"/>
        <v>42389</v>
      </c>
      <c r="V21" s="2">
        <f t="shared" si="1"/>
        <v>42390</v>
      </c>
      <c r="W21" s="2">
        <f t="shared" si="1"/>
        <v>42391</v>
      </c>
      <c r="X21" s="2">
        <f t="shared" si="1"/>
        <v>42392</v>
      </c>
      <c r="Y21" s="2">
        <f t="shared" si="1"/>
        <v>42393</v>
      </c>
      <c r="Z21" s="2">
        <f t="shared" si="1"/>
        <v>42394</v>
      </c>
      <c r="AA21" s="2">
        <f t="shared" si="1"/>
        <v>42395</v>
      </c>
      <c r="AB21" s="2">
        <f t="shared" si="1"/>
        <v>42396</v>
      </c>
      <c r="AC21" s="2">
        <f t="shared" si="1"/>
        <v>42397</v>
      </c>
      <c r="AD21" s="2">
        <f t="shared" si="1"/>
        <v>42398</v>
      </c>
      <c r="AE21" s="2">
        <f t="shared" si="1"/>
        <v>42399</v>
      </c>
      <c r="AF21" s="2">
        <f t="shared" si="1"/>
        <v>42400</v>
      </c>
      <c r="AG21" s="2" t="str">
        <f t="shared" si="1"/>
        <v>Total - Janeiro 2016</v>
      </c>
    </row>
    <row r="22" spans="1:61" x14ac:dyDescent="0.25">
      <c r="A22" s="9" t="s">
        <v>18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>
        <v>420940.93</v>
      </c>
    </row>
    <row r="23" spans="1:61" x14ac:dyDescent="0.25">
      <c r="A23" s="4" t="s">
        <v>19</v>
      </c>
      <c r="B23" s="5">
        <v>494.19</v>
      </c>
      <c r="C23" s="5">
        <f>3702.27+184.11+246.51</f>
        <v>4132.8900000000003</v>
      </c>
      <c r="D23" s="5">
        <f>143.89+5038.14</f>
        <v>5182.0300000000007</v>
      </c>
      <c r="E23" s="5">
        <v>335.76</v>
      </c>
      <c r="F23" s="5">
        <f>1036.83</f>
        <v>1036.83</v>
      </c>
      <c r="G23" s="5">
        <v>621.41</v>
      </c>
      <c r="H23" s="5">
        <v>150.29</v>
      </c>
      <c r="I23" s="5">
        <f>1574.62+686.79+2528.89+307.26</f>
        <v>5097.5599999999995</v>
      </c>
      <c r="J23" s="5">
        <f>366.66+349.8+3253.9</f>
        <v>3970.36</v>
      </c>
      <c r="K23" s="5">
        <f>279.39+5260.71</f>
        <v>5540.1</v>
      </c>
      <c r="L23" s="5">
        <f>938.31+3306.35</f>
        <v>4244.66</v>
      </c>
      <c r="M23" s="5">
        <f>668.61+736.44</f>
        <v>1405.0500000000002</v>
      </c>
      <c r="N23" s="5">
        <v>1120</v>
      </c>
      <c r="O23" s="5">
        <f>293.92+541.02+526.49+917.83</f>
        <v>2279.2600000000002</v>
      </c>
      <c r="P23" s="5">
        <v>837.1</v>
      </c>
      <c r="Q23" s="5">
        <f>1234.87+87.21</f>
        <v>1322.08</v>
      </c>
      <c r="R23" s="5">
        <f>835.76+2799</f>
        <v>3634.76</v>
      </c>
      <c r="S23" s="5">
        <f>293.92+293.92+130.66+65.89</f>
        <v>784.39</v>
      </c>
      <c r="T23" s="5">
        <f>998.07+794.58+691.22+610.47+1715.13</f>
        <v>4809.47</v>
      </c>
      <c r="U23" s="5">
        <f>892.38+423.74+309.2+207.84</f>
        <v>1833.1599999999999</v>
      </c>
      <c r="V23" s="5">
        <v>4451.97</v>
      </c>
      <c r="W23" s="5"/>
      <c r="X23" s="5">
        <v>340.02</v>
      </c>
      <c r="Y23" s="5">
        <f>993.33+1036.83+4260.49</f>
        <v>6290.65</v>
      </c>
      <c r="Z23" s="5">
        <f>1085.28+6829.41</f>
        <v>7914.69</v>
      </c>
      <c r="AA23" s="5">
        <v>2945.76</v>
      </c>
      <c r="AB23" s="5">
        <f>3429.77+332.56</f>
        <v>3762.33</v>
      </c>
      <c r="AC23" s="5">
        <f>454.54+227.27</f>
        <v>681.81000000000006</v>
      </c>
      <c r="AD23" s="5">
        <f>228.92+161.5+345.61</f>
        <v>736.03</v>
      </c>
      <c r="AE23" s="5">
        <f>644.36+12.79+553.2+4832.45</f>
        <v>6042.7999999999993</v>
      </c>
      <c r="AF23" s="5">
        <v>6813.47</v>
      </c>
      <c r="AG23" s="13">
        <f>SUM(B23:AF23)</f>
        <v>88810.880000000005</v>
      </c>
    </row>
    <row r="24" spans="1:61" x14ac:dyDescent="0.25">
      <c r="A24" s="4" t="s">
        <v>20</v>
      </c>
      <c r="B24" s="5"/>
      <c r="C24" s="5"/>
      <c r="D24" s="5"/>
      <c r="E24" s="5"/>
      <c r="F24" s="5">
        <f>5720+23079.6</f>
        <v>28799.599999999999</v>
      </c>
      <c r="G24" s="5"/>
      <c r="H24" s="5"/>
      <c r="I24" s="5"/>
      <c r="J24" s="5"/>
      <c r="K24" s="5"/>
      <c r="L24" s="5"/>
      <c r="M24" s="5">
        <v>14730</v>
      </c>
      <c r="N24" s="5"/>
      <c r="O24" s="5">
        <f>5720+14730+7800</f>
        <v>28250</v>
      </c>
      <c r="P24" s="5">
        <f>15712+7800</f>
        <v>23512</v>
      </c>
      <c r="Q24" s="5"/>
      <c r="R24" s="5"/>
      <c r="S24" s="5"/>
      <c r="T24" s="5"/>
      <c r="U24" s="5"/>
      <c r="V24" s="5"/>
      <c r="W24" s="5"/>
      <c r="X24" s="5"/>
      <c r="Y24" s="5"/>
      <c r="Z24" s="5">
        <v>16392</v>
      </c>
      <c r="AA24" s="5"/>
      <c r="AB24" s="5"/>
      <c r="AC24" s="5">
        <v>3100</v>
      </c>
      <c r="AD24" s="5"/>
      <c r="AE24" s="5"/>
      <c r="AF24" s="5"/>
      <c r="AG24" s="13">
        <f>SUM(B24:AE24)</f>
        <v>114783.6</v>
      </c>
      <c r="BI24">
        <v>21</v>
      </c>
    </row>
    <row r="25" spans="1:61" x14ac:dyDescent="0.25">
      <c r="A25" s="4" t="s">
        <v>21</v>
      </c>
      <c r="B25" s="5"/>
      <c r="C25" s="5"/>
      <c r="D25" s="5"/>
      <c r="E25" s="5"/>
      <c r="F25" s="5"/>
      <c r="G25" s="5"/>
      <c r="H25" s="5"/>
      <c r="I25" s="5">
        <v>22</v>
      </c>
      <c r="J25" s="5">
        <v>22</v>
      </c>
      <c r="K25" s="5"/>
      <c r="L25" s="5"/>
      <c r="M25" s="5"/>
      <c r="N25" s="5"/>
      <c r="O25" s="5"/>
      <c r="P25" s="5"/>
      <c r="Q25" s="5"/>
      <c r="R25" s="5">
        <v>70</v>
      </c>
      <c r="S25" s="5">
        <v>50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13">
        <f>SUM(B25:AE25)</f>
        <v>164</v>
      </c>
    </row>
    <row r="26" spans="1:6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4">
        <f>SUM(AG23:AG25)</f>
        <v>203758.48</v>
      </c>
    </row>
    <row r="27" spans="1:61" x14ac:dyDescent="0.25">
      <c r="AG27" s="15"/>
    </row>
    <row r="28" spans="1:61" x14ac:dyDescent="0.25">
      <c r="A28" s="16" t="s">
        <v>22</v>
      </c>
      <c r="AG28" s="17">
        <f>AG26+AG22-AG18</f>
        <v>530148.35000000009</v>
      </c>
    </row>
  </sheetData>
  <dataValidations count="1">
    <dataValidation allowBlank="1" showInputMessage="1" showErrorMessage="1" promptTitle="ATENÇÃO" prompt="No RDS a linha de UH's Alugadas soma o valor das cortesias do dia. Verifique se existe UH's Cortesia e SUBTRAIA o valor antes de preencher" sqref="B6:AA6"/>
  </dataValidations>
  <pageMargins left="0.511811024" right="0.511811024" top="0.78740157499999996" bottom="0.78740157499999996" header="0.31496062000000002" footer="0.31496062000000002"/>
  <customProperties>
    <customPr name="LastActive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workbookViewId="0">
      <selection activeCell="AH6" sqref="AH6"/>
    </sheetView>
  </sheetViews>
  <sheetFormatPr defaultColWidth="8.85546875" defaultRowHeight="15" x14ac:dyDescent="0.25"/>
  <cols>
    <col min="1" max="1" width="57.42578125" customWidth="1"/>
    <col min="2" max="2" width="11.7109375" customWidth="1"/>
    <col min="3" max="3" width="15.28515625" customWidth="1"/>
    <col min="4" max="4" width="11.7109375" bestFit="1" customWidth="1"/>
    <col min="5" max="5" width="11.42578125" customWidth="1"/>
    <col min="6" max="7" width="11.7109375" bestFit="1" customWidth="1"/>
    <col min="8" max="8" width="12.42578125" customWidth="1"/>
    <col min="9" max="9" width="12" customWidth="1"/>
    <col min="10" max="10" width="11.7109375" bestFit="1" customWidth="1"/>
    <col min="11" max="11" width="12.85546875" bestFit="1" customWidth="1"/>
    <col min="12" max="13" width="13.140625" customWidth="1"/>
    <col min="14" max="14" width="12.28515625" bestFit="1" customWidth="1"/>
    <col min="15" max="15" width="12" customWidth="1"/>
    <col min="16" max="16" width="12.28515625" bestFit="1" customWidth="1"/>
    <col min="17" max="17" width="11.7109375" bestFit="1" customWidth="1"/>
    <col min="18" max="18" width="15" customWidth="1"/>
    <col min="19" max="19" width="10.42578125" bestFit="1" customWidth="1"/>
    <col min="20" max="20" width="12.42578125" customWidth="1"/>
    <col min="21" max="21" width="10.42578125" bestFit="1" customWidth="1"/>
    <col min="22" max="22" width="12.42578125" customWidth="1"/>
    <col min="23" max="23" width="11.7109375" bestFit="1" customWidth="1"/>
    <col min="24" max="24" width="12.28515625" bestFit="1" customWidth="1"/>
    <col min="25" max="25" width="11.85546875" customWidth="1"/>
    <col min="26" max="27" width="11.7109375" bestFit="1" customWidth="1"/>
    <col min="28" max="28" width="12.28515625" bestFit="1" customWidth="1"/>
    <col min="29" max="29" width="11.7109375" bestFit="1" customWidth="1"/>
    <col min="30" max="30" width="12.85546875" customWidth="1"/>
    <col min="31" max="31" width="24.7109375" bestFit="1" customWidth="1"/>
  </cols>
  <sheetData>
    <row r="1" spans="1:31" ht="76.5" customHeight="1" x14ac:dyDescent="0.25"/>
    <row r="2" spans="1:31" x14ac:dyDescent="0.25">
      <c r="A2" s="1" t="s">
        <v>23</v>
      </c>
      <c r="B2" s="2">
        <v>42036</v>
      </c>
      <c r="C2" s="2">
        <v>42037</v>
      </c>
      <c r="D2" s="2">
        <v>42038</v>
      </c>
      <c r="E2" s="2">
        <v>42039</v>
      </c>
      <c r="F2" s="2">
        <v>42040</v>
      </c>
      <c r="G2" s="2">
        <v>42041</v>
      </c>
      <c r="H2" s="2">
        <v>42042</v>
      </c>
      <c r="I2" s="2">
        <v>42043</v>
      </c>
      <c r="J2" s="2">
        <v>42044</v>
      </c>
      <c r="K2" s="2">
        <v>42045</v>
      </c>
      <c r="L2" s="2">
        <v>42046</v>
      </c>
      <c r="M2" s="2">
        <v>42047</v>
      </c>
      <c r="N2" s="2">
        <v>42048</v>
      </c>
      <c r="O2" s="2">
        <v>42049</v>
      </c>
      <c r="P2" s="2">
        <v>42050</v>
      </c>
      <c r="Q2" s="2">
        <v>42051</v>
      </c>
      <c r="R2" s="2">
        <v>42052</v>
      </c>
      <c r="S2" s="2">
        <v>42053</v>
      </c>
      <c r="T2" s="2">
        <v>42054</v>
      </c>
      <c r="U2" s="2">
        <v>42055</v>
      </c>
      <c r="V2" s="2">
        <v>42056</v>
      </c>
      <c r="W2" s="2">
        <v>42057</v>
      </c>
      <c r="X2" s="2">
        <v>42058</v>
      </c>
      <c r="Y2" s="2">
        <v>42059</v>
      </c>
      <c r="Z2" s="2">
        <v>42060</v>
      </c>
      <c r="AA2" s="2">
        <v>42061</v>
      </c>
      <c r="AB2" s="2">
        <v>42062</v>
      </c>
      <c r="AC2" s="2">
        <v>42063</v>
      </c>
      <c r="AD2" s="2" t="s">
        <v>24</v>
      </c>
      <c r="AE2" s="3" t="s">
        <v>56</v>
      </c>
    </row>
    <row r="3" spans="1:31" x14ac:dyDescent="0.25">
      <c r="A3" s="4" t="s">
        <v>2</v>
      </c>
      <c r="B3" s="5"/>
      <c r="C3" s="5">
        <v>860</v>
      </c>
      <c r="D3" s="5"/>
      <c r="E3" s="5"/>
      <c r="F3" s="5"/>
      <c r="G3" s="5"/>
      <c r="H3" s="5"/>
      <c r="I3" s="5"/>
      <c r="J3" s="5">
        <v>1120</v>
      </c>
      <c r="K3" s="5"/>
      <c r="L3" s="5">
        <v>650</v>
      </c>
      <c r="M3" s="5">
        <v>1960</v>
      </c>
      <c r="N3" s="5"/>
      <c r="O3" s="5"/>
      <c r="P3" s="5"/>
      <c r="Q3" s="5">
        <v>1400</v>
      </c>
      <c r="R3" s="5">
        <v>50</v>
      </c>
      <c r="S3" s="5"/>
      <c r="T3" s="5">
        <v>2240</v>
      </c>
      <c r="U3" s="5"/>
      <c r="V3" s="5"/>
      <c r="W3" s="5">
        <v>560</v>
      </c>
      <c r="X3" s="5">
        <v>908.25</v>
      </c>
      <c r="Y3" s="5"/>
      <c r="Z3" s="5">
        <v>1680</v>
      </c>
      <c r="AA3" s="5">
        <v>908.25</v>
      </c>
      <c r="AB3" s="5"/>
      <c r="AC3" s="5"/>
      <c r="AD3" s="5">
        <v>560</v>
      </c>
      <c r="AE3" s="6">
        <f t="shared" ref="AE3:AE17" si="0">SUM(B3:AD3)</f>
        <v>12896.5</v>
      </c>
    </row>
    <row r="4" spans="1:31" x14ac:dyDescent="0.2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>
        <v>1300</v>
      </c>
      <c r="M4" s="5"/>
      <c r="N4" s="5"/>
      <c r="O4" s="5"/>
      <c r="P4" s="5"/>
      <c r="Q4" s="5"/>
      <c r="R4" s="5"/>
      <c r="S4" s="5"/>
      <c r="T4" s="5"/>
      <c r="U4" s="5">
        <v>300</v>
      </c>
      <c r="V4" s="5"/>
      <c r="W4" s="5"/>
      <c r="X4" s="5"/>
      <c r="Y4" s="5"/>
      <c r="Z4" s="5"/>
      <c r="AA4" s="5"/>
      <c r="AB4" s="5"/>
      <c r="AC4" s="5"/>
      <c r="AD4" s="5"/>
      <c r="AE4" s="6">
        <f t="shared" si="0"/>
        <v>1600</v>
      </c>
    </row>
    <row r="5" spans="1:31" x14ac:dyDescent="0.25">
      <c r="A5" s="4" t="s">
        <v>4</v>
      </c>
      <c r="B5" s="5">
        <v>844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>
        <v>3024</v>
      </c>
      <c r="Q5" s="5"/>
      <c r="R5" s="5"/>
      <c r="S5" s="5"/>
      <c r="T5" s="5"/>
      <c r="U5" s="5"/>
      <c r="V5" s="5"/>
      <c r="W5" s="5">
        <v>1590</v>
      </c>
      <c r="X5" s="5"/>
      <c r="Y5" s="5"/>
      <c r="Z5" s="5"/>
      <c r="AA5" s="5"/>
      <c r="AB5" s="5"/>
      <c r="AC5" s="5"/>
      <c r="AD5" s="5"/>
      <c r="AE5" s="6">
        <f t="shared" si="0"/>
        <v>5458</v>
      </c>
    </row>
    <row r="6" spans="1:31" x14ac:dyDescent="0.25">
      <c r="A6" s="4" t="s">
        <v>5</v>
      </c>
      <c r="B6" s="5"/>
      <c r="C6" s="5"/>
      <c r="D6" s="5"/>
      <c r="E6" s="5">
        <v>60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>
        <v>70</v>
      </c>
      <c r="R6" s="5"/>
      <c r="S6" s="5">
        <v>70</v>
      </c>
      <c r="T6" s="5"/>
      <c r="U6" s="5"/>
      <c r="V6" s="5">
        <f>293.78+35+70+8.75+181.56</f>
        <v>589.08999999999992</v>
      </c>
      <c r="W6" s="5"/>
      <c r="X6" s="5"/>
      <c r="Y6" s="5"/>
      <c r="Z6" s="5"/>
      <c r="AA6" s="5"/>
      <c r="AB6" s="5"/>
      <c r="AC6" s="5"/>
      <c r="AD6" s="5"/>
      <c r="AE6" s="6">
        <f t="shared" si="0"/>
        <v>789.08999999999992</v>
      </c>
    </row>
    <row r="7" spans="1:31" x14ac:dyDescent="0.25">
      <c r="A7" s="4" t="s">
        <v>6</v>
      </c>
      <c r="B7" s="5">
        <v>10</v>
      </c>
      <c r="C7" s="5">
        <v>12</v>
      </c>
      <c r="D7" s="5"/>
      <c r="E7" s="5">
        <v>12</v>
      </c>
      <c r="F7" s="5"/>
      <c r="G7" s="5"/>
      <c r="H7" s="5"/>
      <c r="I7" s="5"/>
      <c r="J7" s="5">
        <v>10</v>
      </c>
      <c r="K7" s="5"/>
      <c r="L7" s="5"/>
      <c r="M7" s="5"/>
      <c r="N7" s="5">
        <v>10</v>
      </c>
      <c r="O7" s="5"/>
      <c r="P7" s="5"/>
      <c r="Q7" s="5">
        <v>12</v>
      </c>
      <c r="R7" s="5">
        <v>10</v>
      </c>
      <c r="S7" s="5"/>
      <c r="T7" s="5">
        <v>12</v>
      </c>
      <c r="U7" s="5">
        <v>7</v>
      </c>
      <c r="V7" s="5">
        <v>10</v>
      </c>
      <c r="W7" s="5">
        <v>10</v>
      </c>
      <c r="X7" s="5">
        <v>12</v>
      </c>
      <c r="Y7" s="5"/>
      <c r="Z7" s="5"/>
      <c r="AA7" s="5"/>
      <c r="AB7" s="5"/>
      <c r="AC7" s="5"/>
      <c r="AD7" s="5"/>
      <c r="AE7" s="6">
        <f t="shared" si="0"/>
        <v>127</v>
      </c>
    </row>
    <row r="8" spans="1:31" x14ac:dyDescent="0.25">
      <c r="A8" s="4" t="s">
        <v>25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v>5302.7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>
        <v>3032.21</v>
      </c>
      <c r="AE8" s="6">
        <f t="shared" si="0"/>
        <v>8334.91</v>
      </c>
    </row>
    <row r="9" spans="1:31" x14ac:dyDescent="0.25">
      <c r="A9" s="4" t="s">
        <v>8</v>
      </c>
      <c r="B9" s="5">
        <f>227.5+16</f>
        <v>243.5</v>
      </c>
      <c r="C9" s="5"/>
      <c r="D9" s="5"/>
      <c r="E9" s="5">
        <v>14</v>
      </c>
      <c r="F9" s="5"/>
      <c r="G9" s="5"/>
      <c r="H9" s="5"/>
      <c r="I9" s="5">
        <f>36+17.15</f>
        <v>53.15</v>
      </c>
      <c r="J9" s="5">
        <v>18</v>
      </c>
      <c r="K9" s="5">
        <v>40</v>
      </c>
      <c r="L9" s="5">
        <f>31+473.77+292.36</f>
        <v>797.13</v>
      </c>
      <c r="M9" s="5">
        <v>825</v>
      </c>
      <c r="N9" s="5"/>
      <c r="O9" s="5"/>
      <c r="P9" s="5">
        <f>1122+887+790.68+222.2+201.27-40.89+263.33+703.02</f>
        <v>4148.6099999999997</v>
      </c>
      <c r="Q9" s="5">
        <f>56+48</f>
        <v>104</v>
      </c>
      <c r="R9" s="5"/>
      <c r="S9" s="5"/>
      <c r="T9" s="5">
        <v>1000</v>
      </c>
      <c r="U9" s="5"/>
      <c r="V9" s="5"/>
      <c r="W9" s="5"/>
      <c r="X9" s="5"/>
      <c r="Y9" s="5"/>
      <c r="Z9" s="5">
        <f>300+550</f>
        <v>850</v>
      </c>
      <c r="AA9" s="5"/>
      <c r="AB9" s="5">
        <v>16</v>
      </c>
      <c r="AC9" s="5"/>
      <c r="AD9" s="5">
        <f>600.75+20+7.5</f>
        <v>628.25</v>
      </c>
      <c r="AE9" s="6">
        <f t="shared" si="0"/>
        <v>8737.64</v>
      </c>
    </row>
    <row r="10" spans="1:31" x14ac:dyDescent="0.25">
      <c r="A10" s="4" t="s">
        <v>9</v>
      </c>
      <c r="B10" s="5">
        <v>360</v>
      </c>
      <c r="C10" s="5"/>
      <c r="D10" s="5"/>
      <c r="E10" s="5"/>
      <c r="F10" s="5">
        <v>525</v>
      </c>
      <c r="G10" s="5"/>
      <c r="H10" s="5"/>
      <c r="I10" s="5"/>
      <c r="J10" s="5"/>
      <c r="K10" s="5"/>
      <c r="L10" s="5">
        <v>270</v>
      </c>
      <c r="M10" s="5"/>
      <c r="N10" s="5"/>
      <c r="O10" s="5"/>
      <c r="P10" s="5"/>
      <c r="Q10" s="5"/>
      <c r="R10" s="5">
        <v>210</v>
      </c>
      <c r="S10" s="5">
        <v>480</v>
      </c>
      <c r="T10" s="5"/>
      <c r="U10" s="5"/>
      <c r="V10" s="5"/>
      <c r="W10" s="5"/>
      <c r="X10" s="5"/>
      <c r="Y10" s="5"/>
      <c r="Z10" s="5">
        <v>585</v>
      </c>
      <c r="AA10" s="5"/>
      <c r="AB10" s="5"/>
      <c r="AC10" s="5"/>
      <c r="AD10" s="5"/>
      <c r="AE10" s="6">
        <f t="shared" si="0"/>
        <v>2430</v>
      </c>
    </row>
    <row r="11" spans="1:31" x14ac:dyDescent="0.25">
      <c r="A11" s="4" t="s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>
        <v>2850.74</v>
      </c>
      <c r="M11" s="5"/>
      <c r="N11" s="5"/>
      <c r="O11" s="5"/>
      <c r="P11" s="5"/>
      <c r="Q11" s="5">
        <v>5029.5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">
        <f t="shared" si="0"/>
        <v>7880.24</v>
      </c>
    </row>
    <row r="12" spans="1:31" x14ac:dyDescent="0.25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>
        <f>4235.56+419.01</f>
        <v>4654.5700000000006</v>
      </c>
      <c r="AE12" s="6">
        <f t="shared" si="0"/>
        <v>4654.5700000000006</v>
      </c>
    </row>
    <row r="13" spans="1:31" x14ac:dyDescent="0.25">
      <c r="A13" s="4" t="s">
        <v>13</v>
      </c>
      <c r="B13" s="5"/>
      <c r="C13" s="5"/>
      <c r="D13" s="5"/>
      <c r="E13" s="5"/>
      <c r="F13" s="5">
        <v>225</v>
      </c>
      <c r="G13" s="5"/>
      <c r="H13" s="5"/>
      <c r="I13" s="5"/>
      <c r="J13" s="5"/>
      <c r="K13" s="5"/>
      <c r="L13" s="5">
        <v>2980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>
        <v>8</v>
      </c>
      <c r="X13" s="5"/>
      <c r="Y13" s="5">
        <v>2820</v>
      </c>
      <c r="Z13" s="5"/>
      <c r="AA13" s="5"/>
      <c r="AB13" s="5"/>
      <c r="AC13" s="5"/>
      <c r="AD13" s="5"/>
      <c r="AE13" s="6">
        <f t="shared" si="0"/>
        <v>6033</v>
      </c>
    </row>
    <row r="14" spans="1:31" x14ac:dyDescent="0.25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v>1792.4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6">
        <f t="shared" si="0"/>
        <v>1792.4</v>
      </c>
    </row>
    <row r="15" spans="1:31" x14ac:dyDescent="0.25">
      <c r="A15" s="4" t="s">
        <v>15</v>
      </c>
      <c r="B15" s="5"/>
      <c r="C15" s="5"/>
      <c r="D15" s="5"/>
      <c r="E15" s="5"/>
      <c r="F15" s="5">
        <v>1550</v>
      </c>
      <c r="G15" s="5"/>
      <c r="H15" s="5"/>
      <c r="I15" s="5"/>
      <c r="J15" s="5"/>
      <c r="K15" s="5"/>
      <c r="L15" s="5">
        <v>1080</v>
      </c>
      <c r="M15" s="5"/>
      <c r="N15" s="5"/>
      <c r="O15" s="5"/>
      <c r="P15" s="5">
        <f>900+195+100</f>
        <v>1195</v>
      </c>
      <c r="Q15" s="5"/>
      <c r="R15" s="5"/>
      <c r="S15" s="5"/>
      <c r="T15" s="5">
        <v>720</v>
      </c>
      <c r="U15" s="5">
        <v>720</v>
      </c>
      <c r="V15" s="5"/>
      <c r="W15" s="5"/>
      <c r="X15" s="5">
        <f>1550+208.25</f>
        <v>1758.25</v>
      </c>
      <c r="Y15" s="5"/>
      <c r="Z15" s="5"/>
      <c r="AA15" s="5"/>
      <c r="AB15" s="5">
        <v>1307</v>
      </c>
      <c r="AC15" s="5"/>
      <c r="AD15" s="5">
        <f>908.25+360</f>
        <v>1268.25</v>
      </c>
      <c r="AE15" s="6">
        <f t="shared" si="0"/>
        <v>9598.5</v>
      </c>
    </row>
    <row r="16" spans="1:31" x14ac:dyDescent="0.25">
      <c r="A16" s="4" t="s">
        <v>16</v>
      </c>
      <c r="B16" s="5">
        <v>200</v>
      </c>
      <c r="C16" s="5"/>
      <c r="D16" s="5">
        <v>254.9</v>
      </c>
      <c r="E16" s="5">
        <v>2685</v>
      </c>
      <c r="F16" s="5"/>
      <c r="G16" s="5">
        <v>10</v>
      </c>
      <c r="H16" s="5"/>
      <c r="I16" s="5">
        <f>36+17.15</f>
        <v>53.15</v>
      </c>
      <c r="J16" s="5">
        <v>612</v>
      </c>
      <c r="K16" s="5"/>
      <c r="L16" s="5">
        <f>4630.65+519.25</f>
        <v>5149.8999999999996</v>
      </c>
      <c r="M16" s="5">
        <v>6340</v>
      </c>
      <c r="N16" s="5"/>
      <c r="O16" s="5"/>
      <c r="P16" s="5">
        <f>1359+630.5</f>
        <v>1989.5</v>
      </c>
      <c r="Q16" s="5">
        <v>55</v>
      </c>
      <c r="R16" s="5">
        <v>887.8</v>
      </c>
      <c r="S16" s="5">
        <v>227.5</v>
      </c>
      <c r="T16" s="5">
        <f>827+13.5+5+150</f>
        <v>995.5</v>
      </c>
      <c r="U16" s="5">
        <f>16+887.8</f>
        <v>903.8</v>
      </c>
      <c r="V16" s="5">
        <v>28.6</v>
      </c>
      <c r="W16" s="5">
        <f>220+10+28.6+60</f>
        <v>318.60000000000002</v>
      </c>
      <c r="X16" s="5">
        <f>924.11+280+8</f>
        <v>1212.1100000000001</v>
      </c>
      <c r="Y16" s="5"/>
      <c r="Z16" s="5"/>
      <c r="AA16" s="5">
        <v>12</v>
      </c>
      <c r="AB16" s="5"/>
      <c r="AC16" s="5"/>
      <c r="AD16" s="5"/>
      <c r="AE16" s="6">
        <f t="shared" si="0"/>
        <v>21935.359999999997</v>
      </c>
    </row>
    <row r="17" spans="1:31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6">
        <f t="shared" si="0"/>
        <v>0</v>
      </c>
    </row>
    <row r="18" spans="1:3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8">
        <f>SUM(AE3:AE17)</f>
        <v>92267.21</v>
      </c>
    </row>
    <row r="21" spans="1:31" x14ac:dyDescent="0.25">
      <c r="A21" s="1" t="s">
        <v>17</v>
      </c>
      <c r="B21" s="2">
        <v>42401</v>
      </c>
      <c r="C21" s="2">
        <v>42402</v>
      </c>
      <c r="D21" s="2">
        <v>42403</v>
      </c>
      <c r="E21" s="2">
        <v>42404</v>
      </c>
      <c r="F21" s="2">
        <v>42405</v>
      </c>
      <c r="G21" s="2">
        <v>42406</v>
      </c>
      <c r="H21" s="2">
        <v>42407</v>
      </c>
      <c r="I21" s="2">
        <v>42408</v>
      </c>
      <c r="J21" s="2">
        <v>42409</v>
      </c>
      <c r="K21" s="2">
        <v>42410</v>
      </c>
      <c r="L21" s="2">
        <v>42411</v>
      </c>
      <c r="M21" s="2">
        <v>42412</v>
      </c>
      <c r="N21" s="2">
        <v>42413</v>
      </c>
      <c r="O21" s="2">
        <v>42414</v>
      </c>
      <c r="P21" s="2">
        <v>42415</v>
      </c>
      <c r="Q21" s="2">
        <v>42416</v>
      </c>
      <c r="R21" s="2">
        <v>42417</v>
      </c>
      <c r="S21" s="2">
        <v>42418</v>
      </c>
      <c r="T21" s="2">
        <v>42419</v>
      </c>
      <c r="U21" s="2">
        <v>42420</v>
      </c>
      <c r="V21" s="2">
        <v>42421</v>
      </c>
      <c r="W21" s="2">
        <v>42422</v>
      </c>
      <c r="X21" s="2">
        <v>42423</v>
      </c>
      <c r="Y21" s="2">
        <v>42424</v>
      </c>
      <c r="Z21" s="2">
        <v>42425</v>
      </c>
      <c r="AA21" s="2">
        <v>42426</v>
      </c>
      <c r="AB21" s="2">
        <v>42427</v>
      </c>
      <c r="AC21" s="2">
        <v>42428</v>
      </c>
      <c r="AD21" s="2">
        <v>42429</v>
      </c>
      <c r="AE21" s="3" t="s">
        <v>1</v>
      </c>
    </row>
    <row r="22" spans="1:31" x14ac:dyDescent="0.25">
      <c r="A22" s="9" t="s">
        <v>26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8">
        <v>530148.35</v>
      </c>
    </row>
    <row r="23" spans="1:31" x14ac:dyDescent="0.25">
      <c r="A23" s="4" t="s">
        <v>19</v>
      </c>
      <c r="B23" s="5">
        <f>494.19+3908.84+1882.47+636.35</f>
        <v>6921.85</v>
      </c>
      <c r="C23" s="5">
        <f>3702.27+184.11+246.51+793.02</f>
        <v>4925.91</v>
      </c>
      <c r="D23" s="5"/>
      <c r="E23" s="5">
        <f>6259.74+741.47</f>
        <v>7001.21</v>
      </c>
      <c r="F23" s="5">
        <f>519.4</f>
        <v>519.4</v>
      </c>
      <c r="G23" s="5">
        <v>7800.49</v>
      </c>
      <c r="H23" s="5">
        <f>9652.5+3733.56+1732.08</f>
        <v>15118.14</v>
      </c>
      <c r="I23" s="5">
        <f>542.15+384.64</f>
        <v>926.79</v>
      </c>
      <c r="J23" s="5">
        <f>868.03+78.32+157.75</f>
        <v>1104.0999999999999</v>
      </c>
      <c r="K23" s="5">
        <f>279.39+752.43</f>
        <v>1031.82</v>
      </c>
      <c r="L23" s="5">
        <v>938.31</v>
      </c>
      <c r="M23" s="5">
        <f>668.61+2548.47+862.41</f>
        <v>4079.49</v>
      </c>
      <c r="N23" s="5">
        <f>1120+461.53</f>
        <v>1581.53</v>
      </c>
      <c r="O23" s="5">
        <f>541.02+293.92+526.49+917.83+361.34+819.52+197.8</f>
        <v>3657.9200000000005</v>
      </c>
      <c r="P23" s="5"/>
      <c r="Q23" s="5">
        <f>1234.87+87.21+1454.46</f>
        <v>2776.54</v>
      </c>
      <c r="R23" s="5">
        <v>183.9</v>
      </c>
      <c r="S23" s="5">
        <f>293.92+293.92+380.42</f>
        <v>968.26</v>
      </c>
      <c r="T23" s="5">
        <f>998.07+691.22+610.47+1715.13+188.66+20810.24</f>
        <v>25013.79</v>
      </c>
      <c r="U23" s="5">
        <v>892.38</v>
      </c>
      <c r="V23" s="5">
        <f>723.45+4980.66</f>
        <v>5704.11</v>
      </c>
      <c r="W23" s="5">
        <v>880.82</v>
      </c>
      <c r="X23" s="5"/>
      <c r="Y23" s="5">
        <f>993.33+1036.83</f>
        <v>2030.1599999999999</v>
      </c>
      <c r="Z23" s="5">
        <v>1085.28</v>
      </c>
      <c r="AA23" s="5">
        <f>5289.61</f>
        <v>5289.61</v>
      </c>
      <c r="AB23" s="5">
        <f>390.12+422.09</f>
        <v>812.21</v>
      </c>
      <c r="AC23" s="5">
        <f>454.54+227.27+1313.18</f>
        <v>1994.9900000000002</v>
      </c>
      <c r="AD23" s="5">
        <f>228.92+161.5+345.61+496.51+92.61</f>
        <v>1325.1499999999999</v>
      </c>
      <c r="AE23" s="6">
        <f>SUM(B23:AD23)</f>
        <v>104564.16000000002</v>
      </c>
    </row>
    <row r="24" spans="1:31" x14ac:dyDescent="0.25">
      <c r="A24" s="4" t="s">
        <v>20</v>
      </c>
      <c r="B24" s="5">
        <v>7296</v>
      </c>
      <c r="C24" s="5">
        <f>5441+5441+4836</f>
        <v>15718</v>
      </c>
      <c r="D24" s="5">
        <v>6173</v>
      </c>
      <c r="E24" s="5">
        <v>5460</v>
      </c>
      <c r="F24" s="5"/>
      <c r="G24" s="5"/>
      <c r="H24" s="5"/>
      <c r="I24" s="5"/>
      <c r="J24" s="5"/>
      <c r="K24" s="5">
        <f>4433+14064</f>
        <v>18497</v>
      </c>
      <c r="L24" s="5">
        <v>4456</v>
      </c>
      <c r="M24" s="5">
        <v>7032</v>
      </c>
      <c r="N24" s="5">
        <v>2456</v>
      </c>
      <c r="O24" s="5"/>
      <c r="P24" s="5"/>
      <c r="Q24" s="5"/>
      <c r="R24" s="5">
        <v>21010.25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>
        <v>2944</v>
      </c>
      <c r="AE24" s="6">
        <f>SUM(B24:AD24)</f>
        <v>91042.25</v>
      </c>
    </row>
    <row r="25" spans="1:31" x14ac:dyDescent="0.25">
      <c r="A25" s="4" t="s">
        <v>21</v>
      </c>
      <c r="B25" s="5"/>
      <c r="C25" s="5"/>
      <c r="D25" s="5"/>
      <c r="E25" s="5"/>
      <c r="F25" s="5"/>
      <c r="G25" s="5"/>
      <c r="H25" s="5">
        <v>49.5</v>
      </c>
      <c r="I25" s="5">
        <v>197.8</v>
      </c>
      <c r="J25" s="5"/>
      <c r="K25" s="5"/>
      <c r="L25" s="5">
        <v>37.4</v>
      </c>
      <c r="M25" s="5"/>
      <c r="N25" s="5"/>
      <c r="O25" s="5"/>
      <c r="P25" s="5"/>
      <c r="Q25" s="5"/>
      <c r="R25" s="5"/>
      <c r="S25" s="5"/>
      <c r="T25" s="5">
        <v>290</v>
      </c>
      <c r="U25" s="5">
        <v>200</v>
      </c>
      <c r="V25" s="5">
        <f>172+30.8</f>
        <v>202.8</v>
      </c>
      <c r="W25" s="5"/>
      <c r="X25" s="5"/>
      <c r="Y25" s="5"/>
      <c r="Z25" s="5">
        <v>463</v>
      </c>
      <c r="AA25" s="5"/>
      <c r="AB25" s="5"/>
      <c r="AC25" s="5"/>
      <c r="AD25" s="5"/>
      <c r="AE25" s="6">
        <f>SUM(B25:AD25)</f>
        <v>1440.5</v>
      </c>
    </row>
    <row r="26" spans="1:3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19">
        <f>SUM(AE23:AE25)</f>
        <v>197046.91000000003</v>
      </c>
    </row>
    <row r="28" spans="1:31" x14ac:dyDescent="0.25">
      <c r="A28" s="16" t="s">
        <v>22</v>
      </c>
      <c r="AE28" s="20">
        <f>AE26+AE22-AE18</f>
        <v>634928.05000000005</v>
      </c>
    </row>
  </sheetData>
  <dataValidations count="1">
    <dataValidation allowBlank="1" showInputMessage="1" showErrorMessage="1" promptTitle="ATENÇÃO" prompt="No RDS a linha de UH's Alugadas soma o valor das cortesias do dia. Verifique se existe UH's Cortesia e SUBTRAIA o valor antes de preencher" sqref="B6:AA6"/>
  </dataValidations>
  <pageMargins left="0.511811024" right="0.511811024" top="0.78740157499999996" bottom="0.78740157499999996" header="0.31496062000000002" footer="0.31496062000000002"/>
  <customProperties>
    <customPr name="LastActive" r:id="rId1"/>
  </customProperti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workbookViewId="0">
      <selection activeCell="AC10" sqref="AC10"/>
    </sheetView>
  </sheetViews>
  <sheetFormatPr defaultColWidth="11.42578125" defaultRowHeight="15" x14ac:dyDescent="0.25"/>
  <cols>
    <col min="1" max="1" width="46.85546875" customWidth="1"/>
    <col min="2" max="2" width="15.5703125" customWidth="1"/>
    <col min="3" max="3" width="12.28515625" customWidth="1"/>
    <col min="4" max="7" width="11.42578125" customWidth="1"/>
    <col min="8" max="8" width="14.28515625" customWidth="1"/>
    <col min="9" max="12" width="11.42578125" customWidth="1"/>
    <col min="13" max="13" width="14" customWidth="1"/>
    <col min="14" max="14" width="12.7109375" customWidth="1"/>
    <col min="15" max="15" width="12.85546875" bestFit="1" customWidth="1"/>
    <col min="16" max="16" width="11.7109375" bestFit="1" customWidth="1"/>
    <col min="17" max="17" width="12.140625" customWidth="1"/>
    <col min="18" max="19" width="11.7109375" bestFit="1" customWidth="1"/>
    <col min="20" max="20" width="12.140625" customWidth="1"/>
    <col min="22" max="26" width="11.7109375" bestFit="1" customWidth="1"/>
    <col min="29" max="29" width="11.7109375" bestFit="1" customWidth="1"/>
    <col min="30" max="30" width="12.85546875" bestFit="1" customWidth="1"/>
    <col min="31" max="31" width="11.7109375" bestFit="1" customWidth="1"/>
    <col min="33" max="33" width="20.85546875" bestFit="1" customWidth="1"/>
  </cols>
  <sheetData>
    <row r="1" spans="1:33" ht="67.5" customHeight="1" x14ac:dyDescent="0.25"/>
    <row r="2" spans="1:33" x14ac:dyDescent="0.25">
      <c r="A2" s="1" t="s">
        <v>27</v>
      </c>
      <c r="B2" s="2">
        <v>42064</v>
      </c>
      <c r="C2" s="2">
        <v>42065</v>
      </c>
      <c r="D2" s="2">
        <v>42066</v>
      </c>
      <c r="E2" s="2">
        <v>42067</v>
      </c>
      <c r="F2" s="2">
        <v>42068</v>
      </c>
      <c r="G2" s="2">
        <v>42069</v>
      </c>
      <c r="H2" s="2">
        <v>42070</v>
      </c>
      <c r="I2" s="2">
        <v>42071</v>
      </c>
      <c r="J2" s="2">
        <v>42072</v>
      </c>
      <c r="K2" s="2">
        <v>42073</v>
      </c>
      <c r="L2" s="2">
        <v>42074</v>
      </c>
      <c r="M2" s="2">
        <v>42075</v>
      </c>
      <c r="N2" s="2">
        <v>42076</v>
      </c>
      <c r="O2" s="2">
        <v>42077</v>
      </c>
      <c r="P2" s="2">
        <v>42078</v>
      </c>
      <c r="Q2" s="2">
        <v>42079</v>
      </c>
      <c r="R2" s="2">
        <v>42080</v>
      </c>
      <c r="S2" s="2">
        <v>42081</v>
      </c>
      <c r="T2" s="2">
        <v>42082</v>
      </c>
      <c r="U2" s="2">
        <v>42083</v>
      </c>
      <c r="V2" s="2">
        <v>42084</v>
      </c>
      <c r="W2" s="2">
        <v>42085</v>
      </c>
      <c r="X2" s="2">
        <v>42086</v>
      </c>
      <c r="Y2" s="2">
        <v>42087</v>
      </c>
      <c r="Z2" s="2">
        <v>42088</v>
      </c>
      <c r="AA2" s="2">
        <v>42089</v>
      </c>
      <c r="AB2" s="2">
        <v>42090</v>
      </c>
      <c r="AC2" s="2">
        <v>42091</v>
      </c>
      <c r="AD2" s="2">
        <v>42092</v>
      </c>
      <c r="AE2" s="2">
        <v>42093</v>
      </c>
      <c r="AF2" s="2">
        <v>42094</v>
      </c>
      <c r="AG2" s="3" t="s">
        <v>57</v>
      </c>
    </row>
    <row r="3" spans="1:33" x14ac:dyDescent="0.25">
      <c r="A3" s="4" t="s">
        <v>2</v>
      </c>
      <c r="B3" s="5">
        <v>560</v>
      </c>
      <c r="C3" s="5"/>
      <c r="D3" s="5"/>
      <c r="E3" s="5"/>
      <c r="F3" s="5"/>
      <c r="G3" s="5"/>
      <c r="H3" s="5"/>
      <c r="I3" s="5">
        <f>60+560</f>
        <v>620</v>
      </c>
      <c r="J3" s="5"/>
      <c r="K3" s="5"/>
      <c r="L3" s="5">
        <v>690</v>
      </c>
      <c r="M3" s="5"/>
      <c r="N3" s="5"/>
      <c r="O3" s="5"/>
      <c r="P3" s="5"/>
      <c r="Q3" s="5"/>
      <c r="R3" s="5">
        <v>1120</v>
      </c>
      <c r="S3" s="5"/>
      <c r="T3" s="5"/>
      <c r="U3" s="5"/>
      <c r="V3" s="5"/>
      <c r="W3" s="5">
        <f>3200+1400+140</f>
        <v>4740</v>
      </c>
      <c r="X3" s="5">
        <v>3200</v>
      </c>
      <c r="Y3" s="5"/>
      <c r="Z3" s="5"/>
      <c r="AA3" s="5"/>
      <c r="AB3" s="5"/>
      <c r="AC3" s="5"/>
      <c r="AD3" s="5">
        <v>3417</v>
      </c>
      <c r="AE3" s="5"/>
      <c r="AF3" s="5"/>
      <c r="AG3" s="6">
        <f t="shared" ref="AG3:AG18" si="0">SUM(B3:AF3)</f>
        <v>14347</v>
      </c>
    </row>
    <row r="4" spans="1:33" x14ac:dyDescent="0.2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>
        <f t="shared" si="0"/>
        <v>0</v>
      </c>
    </row>
    <row r="5" spans="1:33" x14ac:dyDescent="0.25">
      <c r="A5" s="4" t="s">
        <v>4</v>
      </c>
      <c r="B5" s="5">
        <v>1323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>
        <v>2395</v>
      </c>
      <c r="Q5" s="5"/>
      <c r="R5" s="5"/>
      <c r="S5" s="5"/>
      <c r="T5" s="5"/>
      <c r="U5" s="5"/>
      <c r="V5" s="5"/>
      <c r="W5" s="5"/>
      <c r="X5" s="5">
        <f>480+1073</f>
        <v>1553</v>
      </c>
      <c r="Y5" s="5"/>
      <c r="Z5" s="5"/>
      <c r="AA5" s="5"/>
      <c r="AB5" s="5"/>
      <c r="AC5" s="5">
        <v>2445.0500000000002</v>
      </c>
      <c r="AD5" s="5"/>
      <c r="AE5" s="5"/>
      <c r="AF5" s="5"/>
      <c r="AG5" s="6">
        <f t="shared" si="0"/>
        <v>7716.05</v>
      </c>
    </row>
    <row r="6" spans="1:33" x14ac:dyDescent="0.25">
      <c r="A6" s="4" t="s">
        <v>5</v>
      </c>
      <c r="B6" s="5"/>
      <c r="C6" s="5"/>
      <c r="D6" s="5"/>
      <c r="E6" s="5"/>
      <c r="F6" s="5"/>
      <c r="G6" s="5"/>
      <c r="H6" s="5">
        <f>175.28+1072.59</f>
        <v>1247.8699999999999</v>
      </c>
      <c r="I6" s="5"/>
      <c r="J6" s="5"/>
      <c r="K6" s="5"/>
      <c r="L6" s="5"/>
      <c r="M6" s="5"/>
      <c r="N6" s="5"/>
      <c r="O6" s="5"/>
      <c r="P6" s="5"/>
      <c r="Q6" s="5">
        <v>388.56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>
        <f>71.75+70</f>
        <v>141.75</v>
      </c>
      <c r="AG6" s="6">
        <f t="shared" si="0"/>
        <v>1778.1799999999998</v>
      </c>
    </row>
    <row r="7" spans="1:33" x14ac:dyDescent="0.25">
      <c r="A7" s="4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v>36</v>
      </c>
      <c r="M7" s="5">
        <v>24</v>
      </c>
      <c r="N7" s="5"/>
      <c r="O7" s="5">
        <v>12</v>
      </c>
      <c r="P7" s="5"/>
      <c r="Q7" s="5">
        <v>10</v>
      </c>
      <c r="R7" s="5"/>
      <c r="S7" s="5"/>
      <c r="T7" s="5"/>
      <c r="U7" s="5"/>
      <c r="V7" s="5">
        <v>12</v>
      </c>
      <c r="W7" s="5"/>
      <c r="X7" s="5">
        <v>12</v>
      </c>
      <c r="Y7" s="5"/>
      <c r="Z7" s="5">
        <v>12</v>
      </c>
      <c r="AA7" s="5"/>
      <c r="AB7" s="5"/>
      <c r="AC7" s="5">
        <v>12</v>
      </c>
      <c r="AD7" s="5">
        <v>12</v>
      </c>
      <c r="AE7" s="5">
        <v>10</v>
      </c>
      <c r="AF7" s="5"/>
      <c r="AG7" s="6">
        <f t="shared" si="0"/>
        <v>152</v>
      </c>
    </row>
    <row r="8" spans="1:33" x14ac:dyDescent="0.25">
      <c r="A8" s="4" t="s">
        <v>28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21">
        <v>2949</v>
      </c>
      <c r="Y8" s="5"/>
      <c r="Z8" s="5"/>
      <c r="AA8" s="5"/>
      <c r="AB8" s="5"/>
      <c r="AC8" s="5"/>
      <c r="AD8" s="5"/>
      <c r="AE8" s="5"/>
      <c r="AF8" s="5"/>
      <c r="AG8" s="6">
        <f t="shared" si="0"/>
        <v>2949</v>
      </c>
    </row>
    <row r="9" spans="1:33" x14ac:dyDescent="0.25">
      <c r="A9" s="4" t="s">
        <v>8</v>
      </c>
      <c r="B9" s="5">
        <v>900</v>
      </c>
      <c r="C9" s="5"/>
      <c r="D9" s="5"/>
      <c r="E9" s="5"/>
      <c r="F9" s="5">
        <v>8</v>
      </c>
      <c r="G9" s="5"/>
      <c r="H9" s="5"/>
      <c r="I9" s="5"/>
      <c r="J9" s="5">
        <f>17.15+50</f>
        <v>67.150000000000006</v>
      </c>
      <c r="K9" s="5">
        <v>500</v>
      </c>
      <c r="L9" s="5"/>
      <c r="M9" s="5">
        <f>522.2+1520.3</f>
        <v>2042.5</v>
      </c>
      <c r="N9" s="5"/>
      <c r="O9" s="5"/>
      <c r="P9" s="5">
        <v>263.33</v>
      </c>
      <c r="Q9" s="5"/>
      <c r="R9" s="5"/>
      <c r="S9" s="5"/>
      <c r="T9" s="5">
        <f>519+242+56.97+269.91+551+149.27</f>
        <v>1788.15</v>
      </c>
      <c r="U9" s="5"/>
      <c r="V9" s="5"/>
      <c r="W9" s="5">
        <f>450+1060</f>
        <v>1510</v>
      </c>
      <c r="X9" s="5">
        <f>30+18</f>
        <v>48</v>
      </c>
      <c r="Y9" s="5">
        <f>20+5</f>
        <v>25</v>
      </c>
      <c r="Z9" s="5">
        <f>15+13.75+170</f>
        <v>198.75</v>
      </c>
      <c r="AA9" s="5">
        <v>58</v>
      </c>
      <c r="AB9" s="5">
        <v>12</v>
      </c>
      <c r="AC9" s="5">
        <f>7+682.28</f>
        <v>689.28</v>
      </c>
      <c r="AD9" s="5"/>
      <c r="AE9" s="5">
        <f>1467</f>
        <v>1467</v>
      </c>
      <c r="AF9" s="5">
        <v>27</v>
      </c>
      <c r="AG9" s="6">
        <f t="shared" si="0"/>
        <v>9604.16</v>
      </c>
    </row>
    <row r="10" spans="1:33" x14ac:dyDescent="0.25">
      <c r="A10" s="4" t="s">
        <v>9</v>
      </c>
      <c r="B10" s="5"/>
      <c r="C10" s="5"/>
      <c r="D10" s="5">
        <v>120</v>
      </c>
      <c r="E10" s="5"/>
      <c r="F10" s="5"/>
      <c r="G10" s="5"/>
      <c r="H10" s="5">
        <v>210</v>
      </c>
      <c r="I10" s="5"/>
      <c r="J10" s="5">
        <v>60</v>
      </c>
      <c r="K10" s="5">
        <v>75</v>
      </c>
      <c r="L10" s="5">
        <v>15</v>
      </c>
      <c r="M10" s="5"/>
      <c r="N10" s="5"/>
      <c r="O10" s="5"/>
      <c r="P10" s="5">
        <f>120+15</f>
        <v>135</v>
      </c>
      <c r="Q10" s="5"/>
      <c r="R10" s="5"/>
      <c r="S10" s="5"/>
      <c r="T10" s="5"/>
      <c r="U10" s="5"/>
      <c r="V10" s="5"/>
      <c r="W10" s="5"/>
      <c r="X10" s="5"/>
      <c r="Y10" s="5">
        <v>285</v>
      </c>
      <c r="Z10" s="5">
        <v>60</v>
      </c>
      <c r="AA10" s="5">
        <v>30</v>
      </c>
      <c r="AB10" s="5"/>
      <c r="AC10" s="5">
        <v>135</v>
      </c>
      <c r="AD10" s="5"/>
      <c r="AE10" s="5"/>
      <c r="AF10" s="5"/>
      <c r="AG10" s="6">
        <f t="shared" si="0"/>
        <v>1125</v>
      </c>
    </row>
    <row r="11" spans="1:33" x14ac:dyDescent="0.25">
      <c r="A11" s="4" t="s">
        <v>10</v>
      </c>
      <c r="B11" s="5"/>
      <c r="C11" s="5"/>
      <c r="D11" s="5"/>
      <c r="E11" s="5"/>
      <c r="F11" s="5"/>
      <c r="G11" s="5"/>
      <c r="H11" s="5"/>
      <c r="I11" s="5">
        <v>4062.93</v>
      </c>
      <c r="J11" s="5"/>
      <c r="K11" s="5"/>
      <c r="L11" s="5"/>
      <c r="M11" s="5"/>
      <c r="N11" s="5"/>
      <c r="O11" s="5"/>
      <c r="P11" s="5"/>
      <c r="Q11" s="5"/>
      <c r="R11" s="5"/>
      <c r="S11" s="5">
        <v>1794.74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>
        <f t="shared" si="0"/>
        <v>5857.67</v>
      </c>
    </row>
    <row r="12" spans="1:33" x14ac:dyDescent="0.25">
      <c r="A12" s="4" t="s">
        <v>11</v>
      </c>
      <c r="B12" s="5" t="s">
        <v>29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>
        <f t="shared" si="0"/>
        <v>0</v>
      </c>
    </row>
    <row r="13" spans="1:33" x14ac:dyDescent="0.25">
      <c r="A13" s="4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>
        <f>6290.98+384.2</f>
        <v>6675.1799999999994</v>
      </c>
      <c r="AF13" s="5"/>
      <c r="AG13" s="6">
        <f t="shared" si="0"/>
        <v>6675.1799999999994</v>
      </c>
    </row>
    <row r="14" spans="1:33" x14ac:dyDescent="0.25">
      <c r="A14" s="4" t="s">
        <v>13</v>
      </c>
      <c r="B14" s="5"/>
      <c r="C14" s="5"/>
      <c r="D14" s="5"/>
      <c r="E14" s="5">
        <v>20</v>
      </c>
      <c r="F14" s="5"/>
      <c r="G14" s="5">
        <v>17</v>
      </c>
      <c r="H14" s="5">
        <v>270</v>
      </c>
      <c r="I14" s="5"/>
      <c r="J14" s="5"/>
      <c r="K14" s="5"/>
      <c r="L14" s="5"/>
      <c r="M14" s="5"/>
      <c r="N14" s="5">
        <v>2380</v>
      </c>
      <c r="O14" s="5"/>
      <c r="P14" s="5"/>
      <c r="Q14" s="5"/>
      <c r="R14" s="5"/>
      <c r="S14" s="5"/>
      <c r="T14" s="5"/>
      <c r="U14" s="5"/>
      <c r="V14" s="5"/>
      <c r="W14" s="5"/>
      <c r="X14" s="5">
        <v>17</v>
      </c>
      <c r="Y14" s="5"/>
      <c r="Z14" s="5"/>
      <c r="AA14" s="5"/>
      <c r="AB14" s="5"/>
      <c r="AC14" s="5">
        <v>2970</v>
      </c>
      <c r="AD14" s="5"/>
      <c r="AE14" s="5">
        <v>17</v>
      </c>
      <c r="AF14" s="5"/>
      <c r="AG14" s="6">
        <f t="shared" si="0"/>
        <v>5691</v>
      </c>
    </row>
    <row r="15" spans="1:33" x14ac:dyDescent="0.25">
      <c r="A15" s="4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>
        <f t="shared" si="0"/>
        <v>0</v>
      </c>
    </row>
    <row r="16" spans="1:33" x14ac:dyDescent="0.25">
      <c r="A16" s="4" t="s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f>720+180</f>
        <v>900</v>
      </c>
      <c r="Q16" s="5"/>
      <c r="R16" s="5"/>
      <c r="S16" s="5"/>
      <c r="T16" s="5"/>
      <c r="U16" s="5"/>
      <c r="V16" s="5"/>
      <c r="W16" s="5">
        <v>720</v>
      </c>
      <c r="X16" s="5"/>
      <c r="Y16" s="5"/>
      <c r="Z16" s="5"/>
      <c r="AA16" s="5"/>
      <c r="AB16" s="5"/>
      <c r="AC16" s="5"/>
      <c r="AD16" s="5">
        <v>100</v>
      </c>
      <c r="AE16" s="5"/>
      <c r="AF16" s="5"/>
      <c r="AG16" s="6">
        <f t="shared" si="0"/>
        <v>1720</v>
      </c>
    </row>
    <row r="17" spans="1:33" x14ac:dyDescent="0.25">
      <c r="A17" s="4" t="s">
        <v>16</v>
      </c>
      <c r="B17" s="5">
        <f>5500+519.25+1600+1600+80</f>
        <v>9299.25</v>
      </c>
      <c r="C17" s="5"/>
      <c r="D17" s="5">
        <v>254.9</v>
      </c>
      <c r="E17" s="5">
        <v>500</v>
      </c>
      <c r="F17" s="5">
        <v>500</v>
      </c>
      <c r="G17" s="5"/>
      <c r="H17" s="5">
        <v>35</v>
      </c>
      <c r="I17" s="5"/>
      <c r="J17" s="5">
        <f>1454.58+1262.37+84+50+193+148.1</f>
        <v>3192.0499999999997</v>
      </c>
      <c r="K17" s="5">
        <f>227.5+162+239.5</f>
        <v>629</v>
      </c>
      <c r="L17" s="5">
        <f>8+1648.86+20</f>
        <v>1676.86</v>
      </c>
      <c r="M17" s="5">
        <f>854+599.94+228+29.99+899.8+821</f>
        <v>3432.73</v>
      </c>
      <c r="N17" s="5"/>
      <c r="O17" s="5"/>
      <c r="P17" s="5">
        <v>875</v>
      </c>
      <c r="Q17" s="5">
        <v>7</v>
      </c>
      <c r="R17" s="5">
        <f>24+374</f>
        <v>398</v>
      </c>
      <c r="S17" s="5"/>
      <c r="T17" s="5">
        <v>570.07000000000005</v>
      </c>
      <c r="U17" s="5"/>
      <c r="V17" s="5">
        <f>231+1033</f>
        <v>1264</v>
      </c>
      <c r="W17" s="5">
        <v>227.5</v>
      </c>
      <c r="X17" s="5">
        <f>2054.93+240+30</f>
        <v>2324.9299999999998</v>
      </c>
      <c r="Y17" s="5">
        <f>360+96+458.5+720.03+210+1000</f>
        <v>2844.5299999999997</v>
      </c>
      <c r="Z17" s="5"/>
      <c r="AA17" s="5">
        <v>8</v>
      </c>
      <c r="AB17" s="5"/>
      <c r="AC17" s="5">
        <v>119</v>
      </c>
      <c r="AD17" s="5"/>
      <c r="AE17" s="5">
        <f>1549.25</f>
        <v>1549.25</v>
      </c>
      <c r="AF17" s="5"/>
      <c r="AG17" s="6">
        <f t="shared" si="0"/>
        <v>29707.07</v>
      </c>
    </row>
    <row r="18" spans="1:33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>
        <f t="shared" si="0"/>
        <v>0</v>
      </c>
    </row>
    <row r="19" spans="1:33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8">
        <f>SUM(AG3:AG18)</f>
        <v>87322.31</v>
      </c>
    </row>
    <row r="22" spans="1:33" x14ac:dyDescent="0.25">
      <c r="A22" s="1" t="s">
        <v>17</v>
      </c>
      <c r="B22" s="2">
        <v>42064</v>
      </c>
      <c r="C22" s="2">
        <v>42065</v>
      </c>
      <c r="D22" s="2">
        <v>42066</v>
      </c>
      <c r="E22" s="2">
        <v>42067</v>
      </c>
      <c r="F22" s="2">
        <v>42068</v>
      </c>
      <c r="G22" s="2">
        <v>42069</v>
      </c>
      <c r="H22" s="2">
        <v>42070</v>
      </c>
      <c r="I22" s="2">
        <v>42071</v>
      </c>
      <c r="J22" s="2">
        <v>42072</v>
      </c>
      <c r="K22" s="2">
        <v>42073</v>
      </c>
      <c r="L22" s="2">
        <v>42074</v>
      </c>
      <c r="M22" s="2">
        <v>42075</v>
      </c>
      <c r="N22" s="2">
        <v>42076</v>
      </c>
      <c r="O22" s="2">
        <v>42077</v>
      </c>
      <c r="P22" s="2">
        <v>42078</v>
      </c>
      <c r="Q22" s="2">
        <v>42079</v>
      </c>
      <c r="R22" s="2">
        <v>42080</v>
      </c>
      <c r="S22" s="2">
        <v>42081</v>
      </c>
      <c r="T22" s="2">
        <v>42082</v>
      </c>
      <c r="U22" s="2">
        <v>42083</v>
      </c>
      <c r="V22" s="2">
        <v>42084</v>
      </c>
      <c r="W22" s="2">
        <v>42085</v>
      </c>
      <c r="X22" s="2">
        <v>42086</v>
      </c>
      <c r="Y22" s="2">
        <v>42087</v>
      </c>
      <c r="Z22" s="2">
        <v>42088</v>
      </c>
      <c r="AA22" s="2">
        <v>42089</v>
      </c>
      <c r="AB22" s="2">
        <v>42090</v>
      </c>
      <c r="AC22" s="2">
        <v>42091</v>
      </c>
      <c r="AD22" s="2">
        <v>42092</v>
      </c>
      <c r="AE22" s="2">
        <v>42093</v>
      </c>
      <c r="AF22" s="2">
        <v>42094</v>
      </c>
      <c r="AG22" s="3" t="s">
        <v>1</v>
      </c>
    </row>
    <row r="23" spans="1:33" x14ac:dyDescent="0.25">
      <c r="A23" s="9" t="s">
        <v>30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22">
        <v>634928.05000000005</v>
      </c>
    </row>
    <row r="24" spans="1:33" x14ac:dyDescent="0.25">
      <c r="A24" s="4" t="s">
        <v>19</v>
      </c>
      <c r="B24" s="5">
        <f>494.19+1882.4+635.76+851.97+733.21</f>
        <v>4597.5300000000007</v>
      </c>
      <c r="C24" s="5">
        <f>3702.27+184.11+246.51</f>
        <v>4132.8900000000003</v>
      </c>
      <c r="D24" s="5"/>
      <c r="E24" s="5">
        <v>4158.46</v>
      </c>
      <c r="F24" s="5">
        <f>576.65+847.88</f>
        <v>1424.53</v>
      </c>
      <c r="G24" s="5">
        <v>1301.68</v>
      </c>
      <c r="H24" s="5">
        <f>1732.08+8935.88</f>
        <v>10667.96</v>
      </c>
      <c r="I24" s="5">
        <f>86.71+192.35+132.36+134.4+295.25+176.93+115.11+115.11+34.3</f>
        <v>1282.5199999999998</v>
      </c>
      <c r="J24" s="5">
        <f>493.22+345.97</f>
        <v>839.19</v>
      </c>
      <c r="K24" s="5">
        <f>279.39+368.22+413.56+59.49+210.07+81</f>
        <v>1411.73</v>
      </c>
      <c r="L24" s="5">
        <f>938.31+122.38+3189.18</f>
        <v>4249.87</v>
      </c>
      <c r="M24" s="5">
        <f>668.61+6015.11+2886.65+2222.33</f>
        <v>11792.699999999999</v>
      </c>
      <c r="N24" s="5"/>
      <c r="O24" s="5">
        <f>526.49+293.92+526.49+917.83+1589.16+709.5</f>
        <v>4563.3900000000003</v>
      </c>
      <c r="P24" s="5"/>
      <c r="Q24" s="5">
        <f>1234.87-90+938.31</f>
        <v>2083.1799999999998</v>
      </c>
      <c r="R24" s="5"/>
      <c r="S24" s="5">
        <f>293.92+293.92</f>
        <v>587.84</v>
      </c>
      <c r="T24" s="5">
        <f>998.07+691.22+610.47+1715.13+844.38</f>
        <v>4859.2700000000004</v>
      </c>
      <c r="U24" s="5">
        <v>892.38</v>
      </c>
      <c r="V24" s="5">
        <f>107.55</f>
        <v>107.55</v>
      </c>
      <c r="W24" s="5">
        <v>6272</v>
      </c>
      <c r="X24" s="5">
        <v>2024.57</v>
      </c>
      <c r="Y24" s="5"/>
      <c r="Z24" s="5">
        <f>1085.28+21.31+4683.95</f>
        <v>5790.54</v>
      </c>
      <c r="AA24" s="5"/>
      <c r="AB24" s="5">
        <v>807.5</v>
      </c>
      <c r="AC24" s="5">
        <v>117.24</v>
      </c>
      <c r="AD24" s="5">
        <f>161.5+345.61+1287.8</f>
        <v>1794.9099999999999</v>
      </c>
      <c r="AE24" s="5"/>
      <c r="AF24" s="5"/>
      <c r="AG24" s="6">
        <f>SUM(B24:AF24)</f>
        <v>75759.429999999993</v>
      </c>
    </row>
    <row r="25" spans="1:33" x14ac:dyDescent="0.25">
      <c r="A25" s="4" t="s">
        <v>20</v>
      </c>
      <c r="B25" s="5">
        <v>4256.25</v>
      </c>
      <c r="C25" s="5">
        <v>4836</v>
      </c>
      <c r="D25" s="5"/>
      <c r="E25" s="5">
        <v>9360</v>
      </c>
      <c r="F25" s="5"/>
      <c r="G25" s="5">
        <v>2054.9299999999998</v>
      </c>
      <c r="H25" s="5"/>
      <c r="I25" s="5"/>
      <c r="J25" s="5"/>
      <c r="K25" s="5">
        <v>5900</v>
      </c>
      <c r="L25" s="5"/>
      <c r="M25" s="5"/>
      <c r="N25" s="5"/>
      <c r="O25" s="5">
        <f>24256+1000</f>
        <v>25256</v>
      </c>
      <c r="P25" s="5">
        <v>4112</v>
      </c>
      <c r="Q25" s="5"/>
      <c r="R25" s="5"/>
      <c r="S25" s="5">
        <v>4836</v>
      </c>
      <c r="T25" s="5"/>
      <c r="U25" s="5"/>
      <c r="V25" s="5"/>
      <c r="W25" s="5"/>
      <c r="X25" s="5"/>
      <c r="Y25" s="5">
        <v>3072</v>
      </c>
      <c r="Z25" s="5"/>
      <c r="AA25" s="5"/>
      <c r="AB25" s="5"/>
      <c r="AC25" s="5"/>
      <c r="AD25" s="5">
        <v>11260</v>
      </c>
      <c r="AE25" s="5">
        <v>2800</v>
      </c>
      <c r="AF25" s="5"/>
      <c r="AG25" s="6">
        <f>SUM(B25:AF25)</f>
        <v>77743.179999999993</v>
      </c>
    </row>
    <row r="26" spans="1:33" x14ac:dyDescent="0.25">
      <c r="A26" s="4" t="s">
        <v>21</v>
      </c>
      <c r="B26" s="5"/>
      <c r="C26" s="5">
        <v>203</v>
      </c>
      <c r="D26" s="5"/>
      <c r="E26" s="5"/>
      <c r="F26" s="5"/>
      <c r="G26" s="5"/>
      <c r="H26" s="5"/>
      <c r="I26" s="5"/>
      <c r="J26" s="5"/>
      <c r="K26" s="5"/>
      <c r="L26" s="5">
        <v>25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>
        <v>70.400000000000006</v>
      </c>
      <c r="Y26" s="5"/>
      <c r="Z26" s="5">
        <v>50</v>
      </c>
      <c r="AA26" s="5"/>
      <c r="AB26" s="5"/>
      <c r="AC26" s="5"/>
      <c r="AD26" s="5"/>
      <c r="AE26" s="5">
        <v>700</v>
      </c>
      <c r="AF26" s="5"/>
      <c r="AG26" s="6">
        <f>SUM(B26:AF26)</f>
        <v>1048.4000000000001</v>
      </c>
    </row>
    <row r="27" spans="1:33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9">
        <f>SUM(AG24:AG26)</f>
        <v>154551.00999999998</v>
      </c>
    </row>
    <row r="29" spans="1:33" x14ac:dyDescent="0.25">
      <c r="A29" s="16" t="s">
        <v>22</v>
      </c>
      <c r="AG29" s="20">
        <f>AG27+AG23-AG19</f>
        <v>702156.75</v>
      </c>
    </row>
  </sheetData>
  <dataValidations count="1">
    <dataValidation allowBlank="1" showInputMessage="1" showErrorMessage="1" promptTitle="ATENÇÃO" prompt="No RDS a linha de UH's Alugadas soma o valor das cortesias do dia. Verifique se existe UH's Cortesia e SUBTRAIA o valor antes de preencher" sqref="B6:AA6"/>
  </dataValidations>
  <pageMargins left="0.511811024" right="0.511811024" top="0.78740157499999996" bottom="0.78740157499999996" header="0.31496062000000002" footer="0.31496062000000002"/>
  <customProperties>
    <customPr name="LastActive" r:id="rId1"/>
  </customProperti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workbookViewId="0">
      <selection activeCell="AH6" sqref="AH6"/>
    </sheetView>
  </sheetViews>
  <sheetFormatPr defaultColWidth="11.42578125" defaultRowHeight="15" x14ac:dyDescent="0.25"/>
  <cols>
    <col min="1" max="1" width="47" customWidth="1"/>
    <col min="2" max="2" width="11.7109375" bestFit="1" customWidth="1"/>
    <col min="5" max="5" width="16.7109375" customWidth="1"/>
    <col min="7" max="7" width="13.5703125" bestFit="1" customWidth="1"/>
    <col min="8" max="8" width="15" bestFit="1" customWidth="1"/>
    <col min="9" max="9" width="11.7109375" bestFit="1" customWidth="1"/>
    <col min="10" max="10" width="14.140625" customWidth="1"/>
    <col min="12" max="12" width="13.42578125" customWidth="1"/>
    <col min="13" max="13" width="12.85546875" bestFit="1" customWidth="1"/>
    <col min="15" max="16" width="12.28515625" bestFit="1" customWidth="1"/>
    <col min="17" max="17" width="12.140625" customWidth="1"/>
    <col min="18" max="18" width="12.42578125" customWidth="1"/>
    <col min="19" max="19" width="11.7109375" bestFit="1" customWidth="1"/>
    <col min="20" max="20" width="13.140625" customWidth="1"/>
    <col min="21" max="25" width="13.5703125" bestFit="1" customWidth="1"/>
    <col min="27" max="27" width="13.5703125" bestFit="1" customWidth="1"/>
    <col min="28" max="28" width="15" bestFit="1" customWidth="1"/>
    <col min="29" max="31" width="13.5703125" bestFit="1" customWidth="1"/>
    <col min="32" max="32" width="19.28515625" bestFit="1" customWidth="1"/>
  </cols>
  <sheetData>
    <row r="1" spans="1:32" ht="78.75" customHeight="1" x14ac:dyDescent="0.25"/>
    <row r="2" spans="1:32" x14ac:dyDescent="0.25">
      <c r="A2" s="1" t="s">
        <v>31</v>
      </c>
      <c r="B2" s="2">
        <v>42095</v>
      </c>
      <c r="C2" s="2">
        <v>42096</v>
      </c>
      <c r="D2" s="2">
        <v>42097</v>
      </c>
      <c r="E2" s="2">
        <v>42098</v>
      </c>
      <c r="F2" s="2">
        <v>42099</v>
      </c>
      <c r="G2" s="2">
        <v>42100</v>
      </c>
      <c r="H2" s="2">
        <v>42101</v>
      </c>
      <c r="I2" s="2">
        <v>42102</v>
      </c>
      <c r="J2" s="2">
        <v>42103</v>
      </c>
      <c r="K2" s="2">
        <v>42104</v>
      </c>
      <c r="L2" s="2">
        <v>42105</v>
      </c>
      <c r="M2" s="2">
        <v>42106</v>
      </c>
      <c r="N2" s="2">
        <v>42107</v>
      </c>
      <c r="O2" s="2">
        <v>42108</v>
      </c>
      <c r="P2" s="2">
        <v>42109</v>
      </c>
      <c r="Q2" s="2">
        <v>42110</v>
      </c>
      <c r="R2" s="2">
        <v>42111</v>
      </c>
      <c r="S2" s="2">
        <v>42112</v>
      </c>
      <c r="T2" s="2">
        <v>42113</v>
      </c>
      <c r="U2" s="2">
        <v>42114</v>
      </c>
      <c r="V2" s="2">
        <v>42115</v>
      </c>
      <c r="W2" s="2">
        <v>42116</v>
      </c>
      <c r="X2" s="2">
        <v>42117</v>
      </c>
      <c r="Y2" s="2">
        <v>42118</v>
      </c>
      <c r="Z2" s="2">
        <v>42119</v>
      </c>
      <c r="AA2" s="2">
        <v>42120</v>
      </c>
      <c r="AB2" s="2">
        <v>42121</v>
      </c>
      <c r="AC2" s="2">
        <v>42122</v>
      </c>
      <c r="AD2" s="2">
        <v>42123</v>
      </c>
      <c r="AE2" s="2">
        <v>42124</v>
      </c>
      <c r="AF2" s="3" t="s">
        <v>58</v>
      </c>
    </row>
    <row r="3" spans="1:32" x14ac:dyDescent="0.25">
      <c r="A3" s="4" t="s">
        <v>2</v>
      </c>
      <c r="B3" s="5"/>
      <c r="C3" s="5"/>
      <c r="D3" s="5"/>
      <c r="E3" s="5"/>
      <c r="F3" s="5"/>
      <c r="G3" s="5">
        <v>2800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>
        <v>3975</v>
      </c>
      <c r="X3" s="5"/>
      <c r="Y3" s="5"/>
      <c r="Z3" s="5"/>
      <c r="AA3" s="5"/>
      <c r="AB3" s="5">
        <v>1400</v>
      </c>
      <c r="AC3" s="5"/>
      <c r="AD3" s="5"/>
      <c r="AE3" s="5"/>
      <c r="AF3" s="6">
        <f t="shared" ref="AF3:AF17" si="0">SUM(B3:AE3)</f>
        <v>8175</v>
      </c>
    </row>
    <row r="4" spans="1:32" x14ac:dyDescent="0.25">
      <c r="A4" s="4" t="s">
        <v>3</v>
      </c>
      <c r="B4" s="5"/>
      <c r="C4" s="5"/>
      <c r="D4" s="5"/>
      <c r="E4" s="5">
        <v>660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>
        <f t="shared" si="0"/>
        <v>660</v>
      </c>
    </row>
    <row r="5" spans="1:32" x14ac:dyDescent="0.25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>
        <v>1697.52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>
        <v>2453.9</v>
      </c>
      <c r="AE5" s="5"/>
      <c r="AF5" s="6">
        <f t="shared" si="0"/>
        <v>4151.42</v>
      </c>
    </row>
    <row r="6" spans="1:32" x14ac:dyDescent="0.25">
      <c r="A6" s="4" t="s">
        <v>5</v>
      </c>
      <c r="B6" s="5"/>
      <c r="C6" s="5"/>
      <c r="D6" s="5"/>
      <c r="E6" s="5">
        <v>867.5</v>
      </c>
      <c r="F6" s="5"/>
      <c r="G6" s="5">
        <f>1175.88+969.32+925</f>
        <v>3070.2000000000003</v>
      </c>
      <c r="H6" s="5">
        <f>102.8</f>
        <v>102.8</v>
      </c>
      <c r="I6" s="5"/>
      <c r="J6" s="5"/>
      <c r="K6" s="5">
        <v>40</v>
      </c>
      <c r="L6" s="5">
        <f>40.68+61.22+35</f>
        <v>136.9</v>
      </c>
      <c r="M6" s="5">
        <v>70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6">
        <f t="shared" si="0"/>
        <v>4287.4000000000005</v>
      </c>
    </row>
    <row r="7" spans="1:32" x14ac:dyDescent="0.25">
      <c r="A7" s="4" t="s">
        <v>6</v>
      </c>
      <c r="B7" s="5"/>
      <c r="C7" s="5">
        <f>10+10</f>
        <v>20</v>
      </c>
      <c r="D7" s="5"/>
      <c r="E7" s="5"/>
      <c r="F7" s="5"/>
      <c r="G7" s="5"/>
      <c r="H7" s="5"/>
      <c r="I7" s="5">
        <v>12</v>
      </c>
      <c r="J7" s="5">
        <v>10</v>
      </c>
      <c r="K7" s="5"/>
      <c r="L7" s="5"/>
      <c r="M7" s="5"/>
      <c r="N7" s="5"/>
      <c r="O7" s="5">
        <v>12</v>
      </c>
      <c r="P7" s="5"/>
      <c r="Q7" s="5">
        <v>10</v>
      </c>
      <c r="R7" s="5">
        <v>12</v>
      </c>
      <c r="S7" s="5"/>
      <c r="T7" s="5">
        <v>10</v>
      </c>
      <c r="U7" s="5">
        <v>10</v>
      </c>
      <c r="V7" s="5"/>
      <c r="W7" s="5">
        <f>10</f>
        <v>10</v>
      </c>
      <c r="X7" s="5"/>
      <c r="Y7" s="5"/>
      <c r="Z7" s="5"/>
      <c r="AA7" s="5"/>
      <c r="AB7" s="5"/>
      <c r="AC7" s="5">
        <f>12+12</f>
        <v>24</v>
      </c>
      <c r="AD7" s="5"/>
      <c r="AE7" s="5"/>
      <c r="AF7" s="6">
        <f t="shared" si="0"/>
        <v>130</v>
      </c>
    </row>
    <row r="8" spans="1:32" x14ac:dyDescent="0.25">
      <c r="A8" s="4" t="s">
        <v>32</v>
      </c>
      <c r="B8" s="5"/>
      <c r="C8" s="5"/>
      <c r="D8" s="5"/>
      <c r="E8" s="5"/>
      <c r="F8" s="5"/>
      <c r="G8" s="5"/>
      <c r="H8" s="5"/>
      <c r="I8" s="5"/>
      <c r="J8" s="5"/>
      <c r="K8" s="5"/>
      <c r="L8" s="5">
        <v>12236.8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23">
        <f>5535.58+3101.53</f>
        <v>8637.11</v>
      </c>
      <c r="AC8" s="5"/>
      <c r="AD8" s="5"/>
      <c r="AE8" s="5"/>
      <c r="AF8" s="6">
        <f t="shared" si="0"/>
        <v>20873.91</v>
      </c>
    </row>
    <row r="9" spans="1:32" x14ac:dyDescent="0.25">
      <c r="A9" s="4" t="s">
        <v>8</v>
      </c>
      <c r="B9" s="5">
        <v>120</v>
      </c>
      <c r="C9" s="5">
        <f>24+21+17+25</f>
        <v>87</v>
      </c>
      <c r="D9" s="5">
        <v>9</v>
      </c>
      <c r="E9" s="5"/>
      <c r="F9" s="5"/>
      <c r="G9" s="5"/>
      <c r="H9" s="5"/>
      <c r="I9" s="5">
        <f>30+60</f>
        <v>90</v>
      </c>
      <c r="J9" s="5">
        <f>684.6+522.23</f>
        <v>1206.83</v>
      </c>
      <c r="K9" s="5"/>
      <c r="L9" s="5"/>
      <c r="M9" s="5">
        <f>1520.3+200</f>
        <v>1720.3</v>
      </c>
      <c r="N9" s="5"/>
      <c r="O9" s="5"/>
      <c r="P9" s="5">
        <v>263.33</v>
      </c>
      <c r="Q9" s="5"/>
      <c r="R9" s="5"/>
      <c r="S9" s="5"/>
      <c r="T9" s="5">
        <f>149.27</f>
        <v>149.27000000000001</v>
      </c>
      <c r="U9" s="5"/>
      <c r="V9" s="5">
        <f>287.28+40+227.5</f>
        <v>554.78</v>
      </c>
      <c r="W9" s="5">
        <v>20</v>
      </c>
      <c r="X9" s="5"/>
      <c r="Y9" s="5"/>
      <c r="Z9" s="5">
        <v>30</v>
      </c>
      <c r="AA9" s="5"/>
      <c r="AB9" s="5">
        <f>935+385.71</f>
        <v>1320.71</v>
      </c>
      <c r="AC9" s="5">
        <f>1119.75+463.4+119.7</f>
        <v>1702.8500000000001</v>
      </c>
      <c r="AD9" s="5"/>
      <c r="AE9" s="5"/>
      <c r="AF9" s="6">
        <f t="shared" si="0"/>
        <v>7274.0700000000006</v>
      </c>
    </row>
    <row r="10" spans="1:32" x14ac:dyDescent="0.25">
      <c r="A10" s="4" t="s">
        <v>9</v>
      </c>
      <c r="B10" s="5"/>
      <c r="C10" s="5">
        <v>45</v>
      </c>
      <c r="D10" s="5"/>
      <c r="E10" s="5"/>
      <c r="F10" s="5"/>
      <c r="G10" s="5"/>
      <c r="H10" s="5"/>
      <c r="I10" s="5"/>
      <c r="J10" s="5"/>
      <c r="K10" s="5">
        <v>15</v>
      </c>
      <c r="L10" s="5"/>
      <c r="M10" s="5"/>
      <c r="N10" s="5"/>
      <c r="O10" s="5">
        <v>45</v>
      </c>
      <c r="P10" s="5">
        <f>490+60</f>
        <v>550</v>
      </c>
      <c r="Q10" s="5">
        <v>30</v>
      </c>
      <c r="R10" s="5"/>
      <c r="S10" s="5">
        <v>30</v>
      </c>
      <c r="T10" s="5">
        <v>30</v>
      </c>
      <c r="U10" s="5"/>
      <c r="V10" s="5">
        <v>60</v>
      </c>
      <c r="W10" s="5">
        <v>255</v>
      </c>
      <c r="X10" s="5"/>
      <c r="Y10" s="5"/>
      <c r="Z10" s="5"/>
      <c r="AA10" s="5"/>
      <c r="AB10" s="5">
        <v>30</v>
      </c>
      <c r="AC10" s="5">
        <v>75</v>
      </c>
      <c r="AD10" s="5"/>
      <c r="AE10" s="5">
        <v>135</v>
      </c>
      <c r="AF10" s="6">
        <f t="shared" si="0"/>
        <v>1300</v>
      </c>
    </row>
    <row r="11" spans="1:32" x14ac:dyDescent="0.25">
      <c r="A11" s="4" t="s">
        <v>10</v>
      </c>
      <c r="B11" s="5"/>
      <c r="C11" s="5"/>
      <c r="D11" s="5"/>
      <c r="E11" s="5"/>
      <c r="F11" s="5"/>
      <c r="G11" s="5"/>
      <c r="H11" s="5">
        <v>4225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6">
        <f t="shared" si="0"/>
        <v>4225</v>
      </c>
    </row>
    <row r="12" spans="1:32" x14ac:dyDescent="0.25">
      <c r="A12" s="4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>
        <f>6139.66+138.61</f>
        <v>6278.2699999999995</v>
      </c>
      <c r="AF12" s="6">
        <f t="shared" si="0"/>
        <v>6278.2699999999995</v>
      </c>
    </row>
    <row r="13" spans="1:32" x14ac:dyDescent="0.25">
      <c r="A13" s="4" t="s">
        <v>13</v>
      </c>
      <c r="B13" s="5"/>
      <c r="C13" s="5"/>
      <c r="D13" s="5"/>
      <c r="E13" s="5"/>
      <c r="F13" s="5"/>
      <c r="G13" s="5"/>
      <c r="H13" s="5">
        <v>270</v>
      </c>
      <c r="I13" s="5"/>
      <c r="J13" s="5"/>
      <c r="K13" s="5"/>
      <c r="L13" s="5">
        <v>2860</v>
      </c>
      <c r="M13" s="5"/>
      <c r="N13" s="5"/>
      <c r="O13" s="5"/>
      <c r="P13" s="5"/>
      <c r="Q13" s="5"/>
      <c r="R13" s="5"/>
      <c r="S13" s="5"/>
      <c r="T13" s="5"/>
      <c r="U13" s="5"/>
      <c r="V13" s="5">
        <v>10</v>
      </c>
      <c r="W13" s="5">
        <v>9</v>
      </c>
      <c r="X13" s="5"/>
      <c r="Y13" s="5"/>
      <c r="Z13" s="5"/>
      <c r="AA13" s="5"/>
      <c r="AB13" s="5">
        <f>2860+10</f>
        <v>2870</v>
      </c>
      <c r="AC13" s="5"/>
      <c r="AD13" s="5"/>
      <c r="AE13" s="5"/>
      <c r="AF13" s="6">
        <f t="shared" si="0"/>
        <v>6019</v>
      </c>
    </row>
    <row r="14" spans="1:32" x14ac:dyDescent="0.25">
      <c r="A14" s="4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6">
        <f t="shared" si="0"/>
        <v>0</v>
      </c>
    </row>
    <row r="15" spans="1:32" x14ac:dyDescent="0.25">
      <c r="A15" s="4" t="s">
        <v>15</v>
      </c>
      <c r="B15" s="5"/>
      <c r="C15" s="5"/>
      <c r="D15" s="5"/>
      <c r="E15" s="5">
        <v>1897.5</v>
      </c>
      <c r="F15" s="5">
        <v>140</v>
      </c>
      <c r="G15" s="5"/>
      <c r="H15" s="5"/>
      <c r="I15" s="5"/>
      <c r="J15" s="5"/>
      <c r="K15" s="5">
        <f>180+180</f>
        <v>360</v>
      </c>
      <c r="L15" s="5"/>
      <c r="M15" s="5"/>
      <c r="N15" s="5"/>
      <c r="O15" s="5"/>
      <c r="P15" s="5">
        <v>2437.5</v>
      </c>
      <c r="Q15" s="5"/>
      <c r="R15" s="5"/>
      <c r="S15" s="5"/>
      <c r="T15" s="5"/>
      <c r="U15" s="5"/>
      <c r="V15" s="5"/>
      <c r="W15" s="5">
        <v>720</v>
      </c>
      <c r="X15" s="5"/>
      <c r="Y15" s="5"/>
      <c r="Z15" s="5"/>
      <c r="AA15" s="5">
        <v>210</v>
      </c>
      <c r="AB15" s="5"/>
      <c r="AC15" s="5">
        <v>900</v>
      </c>
      <c r="AD15" s="5"/>
      <c r="AE15" s="5"/>
      <c r="AF15" s="6">
        <f t="shared" si="0"/>
        <v>6665</v>
      </c>
    </row>
    <row r="16" spans="1:32" x14ac:dyDescent="0.25">
      <c r="A16" s="4" t="s">
        <v>16</v>
      </c>
      <c r="B16" s="5" t="s">
        <v>33</v>
      </c>
      <c r="C16" s="5"/>
      <c r="D16" s="5"/>
      <c r="E16" s="5">
        <v>17.5</v>
      </c>
      <c r="F16" s="5"/>
      <c r="G16" s="5"/>
      <c r="H16" s="5">
        <f>28+7</f>
        <v>35</v>
      </c>
      <c r="I16" s="5">
        <f>8+262.49+760</f>
        <v>1030.49</v>
      </c>
      <c r="J16" s="5">
        <f>230+228.5+361+1284.3+19.35+74.5+102.95+202.5+1795+427.14</f>
        <v>4725.2400000000007</v>
      </c>
      <c r="K16" s="5"/>
      <c r="L16" s="5">
        <f>875+150+37+120+261.87+356</f>
        <v>1799.87</v>
      </c>
      <c r="M16" s="5">
        <f>821</f>
        <v>821</v>
      </c>
      <c r="N16" s="5"/>
      <c r="O16" s="5"/>
      <c r="P16" s="5"/>
      <c r="Q16" s="5"/>
      <c r="R16" s="5"/>
      <c r="S16" s="5"/>
      <c r="T16" s="5">
        <f>13.9+2</f>
        <v>15.9</v>
      </c>
      <c r="U16" s="5"/>
      <c r="V16" s="5">
        <f>252+190+659.74</f>
        <v>1101.74</v>
      </c>
      <c r="W16" s="5">
        <f>1308.25+2808.25+1848.25+8</f>
        <v>5972.75</v>
      </c>
      <c r="X16" s="5"/>
      <c r="Y16" s="5"/>
      <c r="Z16" s="5"/>
      <c r="AA16" s="5">
        <f>50+1400</f>
        <v>1450</v>
      </c>
      <c r="AB16" s="5"/>
      <c r="AC16" s="5">
        <f>232+310+224+54.5+217.25+24.3+9+236+1050+6</f>
        <v>2363.0500000000002</v>
      </c>
      <c r="AD16" s="5">
        <f>720.03+1100+80</f>
        <v>1900.03</v>
      </c>
      <c r="AE16" s="5">
        <f>150</f>
        <v>150</v>
      </c>
      <c r="AF16" s="6">
        <f t="shared" si="0"/>
        <v>21382.569999999996</v>
      </c>
    </row>
    <row r="17" spans="1:32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6">
        <f t="shared" si="0"/>
        <v>0</v>
      </c>
    </row>
    <row r="18" spans="1:32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8">
        <f>SUM(AF3:AF17)</f>
        <v>91421.639999999985</v>
      </c>
    </row>
    <row r="21" spans="1:32" x14ac:dyDescent="0.25">
      <c r="A21" s="1" t="s">
        <v>17</v>
      </c>
      <c r="B21" s="2">
        <v>42095</v>
      </c>
      <c r="C21" s="2">
        <v>42096</v>
      </c>
      <c r="D21" s="2">
        <v>42097</v>
      </c>
      <c r="E21" s="2">
        <v>42098</v>
      </c>
      <c r="F21" s="2">
        <v>42099</v>
      </c>
      <c r="G21" s="2">
        <v>42100</v>
      </c>
      <c r="H21" s="2">
        <v>42101</v>
      </c>
      <c r="I21" s="2">
        <v>42102</v>
      </c>
      <c r="J21" s="2">
        <v>42103</v>
      </c>
      <c r="K21" s="2">
        <v>42104</v>
      </c>
      <c r="L21" s="2">
        <v>42105</v>
      </c>
      <c r="M21" s="2">
        <v>42106</v>
      </c>
      <c r="N21" s="2">
        <v>42107</v>
      </c>
      <c r="O21" s="2">
        <v>42108</v>
      </c>
      <c r="P21" s="2">
        <v>42109</v>
      </c>
      <c r="Q21" s="2">
        <v>42110</v>
      </c>
      <c r="R21" s="2">
        <v>42111</v>
      </c>
      <c r="S21" s="2">
        <v>42112</v>
      </c>
      <c r="T21" s="2">
        <v>42113</v>
      </c>
      <c r="U21" s="2">
        <v>42114</v>
      </c>
      <c r="V21" s="2">
        <v>42115</v>
      </c>
      <c r="W21" s="2">
        <v>42116</v>
      </c>
      <c r="X21" s="2">
        <v>42117</v>
      </c>
      <c r="Y21" s="2">
        <v>42118</v>
      </c>
      <c r="Z21" s="2">
        <v>42119</v>
      </c>
      <c r="AA21" s="2">
        <v>42120</v>
      </c>
      <c r="AB21" s="2">
        <v>42121</v>
      </c>
      <c r="AC21" s="2">
        <v>42122</v>
      </c>
      <c r="AD21" s="2">
        <v>42123</v>
      </c>
      <c r="AE21" s="2">
        <v>42124</v>
      </c>
      <c r="AF21" s="3" t="s">
        <v>1</v>
      </c>
    </row>
    <row r="22" spans="1:32" x14ac:dyDescent="0.25">
      <c r="A22" s="9" t="s">
        <v>34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2">
        <v>702156.75</v>
      </c>
    </row>
    <row r="23" spans="1:32" x14ac:dyDescent="0.25">
      <c r="A23" s="4" t="s">
        <v>19</v>
      </c>
      <c r="B23" s="5">
        <f>851.97+733.21</f>
        <v>1585.18</v>
      </c>
      <c r="C23" s="5">
        <v>184.11</v>
      </c>
      <c r="D23" s="5"/>
      <c r="E23" s="5">
        <f>3189.18+121.12+665.92+328.45</f>
        <v>4304.67</v>
      </c>
      <c r="F23" s="5"/>
      <c r="G23" s="5">
        <f>1301.68</f>
        <v>1301.68</v>
      </c>
      <c r="H23" s="5">
        <f>1732.08+248.3+8935.88+121.12</f>
        <v>11037.38</v>
      </c>
      <c r="I23" s="5">
        <v>1831.41</v>
      </c>
      <c r="J23" s="5">
        <f>2403.12+90.45</f>
        <v>2493.5699999999997</v>
      </c>
      <c r="K23" s="5">
        <f>279.39+99.22</f>
        <v>378.61</v>
      </c>
      <c r="L23" s="5">
        <v>938.31</v>
      </c>
      <c r="M23" s="5">
        <f>668.61</f>
        <v>668.61</v>
      </c>
      <c r="N23" s="5"/>
      <c r="O23" s="5">
        <f>526.49+917.83+3703.45+245.72</f>
        <v>5393.4900000000007</v>
      </c>
      <c r="P23" s="5"/>
      <c r="Q23" s="5">
        <f>1234.87-90+938.31</f>
        <v>2083.1799999999998</v>
      </c>
      <c r="R23" s="5">
        <f>85.85+2520.46+1356.6</f>
        <v>3962.91</v>
      </c>
      <c r="S23" s="5">
        <v>938.31</v>
      </c>
      <c r="T23" s="5">
        <f>998.07+691.22+610.47</f>
        <v>2299.7600000000002</v>
      </c>
      <c r="U23" s="5">
        <v>892.38</v>
      </c>
      <c r="V23" s="5"/>
      <c r="W23" s="5">
        <f>844.38</f>
        <v>844.38</v>
      </c>
      <c r="X23" s="5">
        <f>40.5+1069.13</f>
        <v>1109.6300000000001</v>
      </c>
      <c r="Y23" s="5">
        <f>7874.09</f>
        <v>7874.09</v>
      </c>
      <c r="Z23" s="5">
        <f>85.74+85.74</f>
        <v>171.48</v>
      </c>
      <c r="AA23" s="5">
        <f>247.28+305.42</f>
        <v>552.70000000000005</v>
      </c>
      <c r="AB23" s="5">
        <v>3508.84</v>
      </c>
      <c r="AC23" s="5">
        <v>807.5</v>
      </c>
      <c r="AD23" s="5"/>
      <c r="AE23" s="5">
        <v>6414.78</v>
      </c>
      <c r="AF23" s="6">
        <f>SUM(B23:AE23)</f>
        <v>61576.959999999992</v>
      </c>
    </row>
    <row r="24" spans="1:32" x14ac:dyDescent="0.25">
      <c r="A24" s="4" t="s">
        <v>20</v>
      </c>
      <c r="B24" s="5"/>
      <c r="C24" s="5"/>
      <c r="D24" s="5"/>
      <c r="E24" s="5"/>
      <c r="F24" s="5"/>
      <c r="G24" s="5"/>
      <c r="H24" s="5"/>
      <c r="I24" s="5">
        <v>1852</v>
      </c>
      <c r="J24" s="5">
        <v>12480</v>
      </c>
      <c r="K24" s="5"/>
      <c r="L24" s="5"/>
      <c r="M24" s="5"/>
      <c r="N24" s="5"/>
      <c r="O24" s="5"/>
      <c r="P24" s="5"/>
      <c r="Q24" s="5">
        <v>5296</v>
      </c>
      <c r="R24" s="5"/>
      <c r="S24" s="5">
        <v>4648</v>
      </c>
      <c r="T24" s="5"/>
      <c r="U24" s="5">
        <v>1567</v>
      </c>
      <c r="V24" s="5"/>
      <c r="W24" s="5"/>
      <c r="X24" s="5"/>
      <c r="Y24" s="5"/>
      <c r="Z24" s="5"/>
      <c r="AA24" s="5"/>
      <c r="AB24" s="5">
        <f>3310+4450+10140</f>
        <v>17900</v>
      </c>
      <c r="AC24" s="5"/>
      <c r="AD24" s="5"/>
      <c r="AE24" s="5"/>
      <c r="AF24" s="6">
        <f>SUM(B24:AE24)</f>
        <v>43743</v>
      </c>
    </row>
    <row r="25" spans="1:32" x14ac:dyDescent="0.25">
      <c r="A25" s="4" t="s">
        <v>21</v>
      </c>
      <c r="B25" s="5"/>
      <c r="C25" s="5"/>
      <c r="D25" s="5"/>
      <c r="E25" s="5"/>
      <c r="F25" s="5"/>
      <c r="G25" s="5"/>
      <c r="H25" s="5">
        <f>50+50</f>
        <v>100</v>
      </c>
      <c r="I25" s="5"/>
      <c r="J25" s="5"/>
      <c r="K25" s="5"/>
      <c r="L25" s="5"/>
      <c r="M25" s="5"/>
      <c r="N25" s="5"/>
      <c r="O25" s="5">
        <v>106.7</v>
      </c>
      <c r="P25" s="5"/>
      <c r="Q25" s="5">
        <v>60</v>
      </c>
      <c r="R25" s="5">
        <v>61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6">
        <f>SUM(B25:AE25)</f>
        <v>327.7</v>
      </c>
    </row>
    <row r="26" spans="1:32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19">
        <f>SUM(AF23:AF25)</f>
        <v>105647.65999999999</v>
      </c>
    </row>
    <row r="28" spans="1:32" x14ac:dyDescent="0.25">
      <c r="A28" s="16" t="s">
        <v>22</v>
      </c>
      <c r="AF28" s="20">
        <f>AF26+AF22-AF18</f>
        <v>716382.77</v>
      </c>
    </row>
  </sheetData>
  <dataValidations count="1">
    <dataValidation allowBlank="1" showInputMessage="1" showErrorMessage="1" promptTitle="ATENÇÃO" prompt="No RDS a linha de UH's Alugadas soma o valor das cortesias do dia. Verifique se existe UH's Cortesia e SUBTRAIA o valor antes de preencher" sqref="B6:AA6"/>
  </dataValidations>
  <pageMargins left="0.511811024" right="0.511811024" top="0.78740157499999996" bottom="0.78740157499999996" header="0.31496062000000002" footer="0.31496062000000002"/>
  <customProperties>
    <customPr name="LastActive" r:id="rId1"/>
  </customPropertie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9"/>
  <sheetViews>
    <sheetView workbookViewId="0">
      <selection activeCell="A8" sqref="A8"/>
    </sheetView>
  </sheetViews>
  <sheetFormatPr defaultColWidth="11.42578125" defaultRowHeight="15" x14ac:dyDescent="0.25"/>
  <cols>
    <col min="1" max="1" width="47" customWidth="1"/>
    <col min="2" max="2" width="11.7109375" bestFit="1" customWidth="1"/>
    <col min="3" max="3" width="13.42578125" bestFit="1" customWidth="1"/>
    <col min="4" max="4" width="11.7109375" bestFit="1" customWidth="1"/>
    <col min="5" max="5" width="13.140625" bestFit="1" customWidth="1"/>
    <col min="6" max="6" width="11.7109375" bestFit="1" customWidth="1"/>
    <col min="7" max="7" width="14.5703125" bestFit="1" customWidth="1"/>
    <col min="8" max="8" width="13.140625" bestFit="1" customWidth="1"/>
    <col min="9" max="10" width="11.7109375" bestFit="1" customWidth="1"/>
    <col min="11" max="11" width="13.140625" bestFit="1" customWidth="1"/>
    <col min="12" max="12" width="11.7109375" bestFit="1" customWidth="1"/>
    <col min="13" max="14" width="13.85546875" bestFit="1" customWidth="1"/>
    <col min="15" max="15" width="12.28515625" bestFit="1" customWidth="1"/>
    <col min="17" max="17" width="12.140625" customWidth="1"/>
    <col min="18" max="19" width="11.7109375" bestFit="1" customWidth="1"/>
    <col min="20" max="20" width="13.140625" bestFit="1" customWidth="1"/>
    <col min="21" max="21" width="12.5703125" customWidth="1"/>
    <col min="22" max="22" width="11.7109375" bestFit="1" customWidth="1"/>
    <col min="24" max="24" width="13.140625" bestFit="1" customWidth="1"/>
    <col min="25" max="25" width="13.28515625" customWidth="1"/>
    <col min="26" max="26" width="13.140625" customWidth="1"/>
    <col min="28" max="28" width="15" customWidth="1"/>
    <col min="29" max="29" width="12.5703125" customWidth="1"/>
    <col min="31" max="32" width="11.7109375" bestFit="1" customWidth="1"/>
    <col min="33" max="33" width="19.42578125" bestFit="1" customWidth="1"/>
  </cols>
  <sheetData>
    <row r="1" spans="1:33" ht="78.75" customHeight="1" x14ac:dyDescent="0.25"/>
    <row r="2" spans="1:33" x14ac:dyDescent="0.25">
      <c r="A2" s="1" t="s">
        <v>35</v>
      </c>
      <c r="B2" s="2">
        <v>42125</v>
      </c>
      <c r="C2" s="2">
        <v>42126</v>
      </c>
      <c r="D2" s="2">
        <v>42127</v>
      </c>
      <c r="E2" s="2">
        <v>42128</v>
      </c>
      <c r="F2" s="2">
        <v>42129</v>
      </c>
      <c r="G2" s="2">
        <v>42130</v>
      </c>
      <c r="H2" s="2">
        <v>42131</v>
      </c>
      <c r="I2" s="2">
        <v>42132</v>
      </c>
      <c r="J2" s="2">
        <v>42133</v>
      </c>
      <c r="K2" s="2">
        <v>42134</v>
      </c>
      <c r="L2" s="2">
        <v>42135</v>
      </c>
      <c r="M2" s="2">
        <v>42136</v>
      </c>
      <c r="N2" s="2">
        <v>42137</v>
      </c>
      <c r="O2" s="2">
        <v>42138</v>
      </c>
      <c r="P2" s="2">
        <v>42139</v>
      </c>
      <c r="Q2" s="2">
        <v>42140</v>
      </c>
      <c r="R2" s="2">
        <v>42141</v>
      </c>
      <c r="S2" s="2">
        <v>42142</v>
      </c>
      <c r="T2" s="2">
        <v>42143</v>
      </c>
      <c r="U2" s="2">
        <v>42144</v>
      </c>
      <c r="V2" s="2">
        <v>42145</v>
      </c>
      <c r="W2" s="2">
        <v>42146</v>
      </c>
      <c r="X2" s="2">
        <v>42147</v>
      </c>
      <c r="Y2" s="2">
        <v>42148</v>
      </c>
      <c r="Z2" s="2">
        <v>42149</v>
      </c>
      <c r="AA2" s="2">
        <v>42150</v>
      </c>
      <c r="AB2" s="2">
        <v>42151</v>
      </c>
      <c r="AC2" s="2">
        <v>42152</v>
      </c>
      <c r="AD2" s="2">
        <v>42153</v>
      </c>
      <c r="AE2" s="2">
        <v>42154</v>
      </c>
      <c r="AF2" s="2">
        <v>42155</v>
      </c>
      <c r="AG2" s="3" t="s">
        <v>59</v>
      </c>
    </row>
    <row r="3" spans="1:33" x14ac:dyDescent="0.25">
      <c r="A3" s="4" t="s">
        <v>2</v>
      </c>
      <c r="B3" s="5"/>
      <c r="C3" s="5"/>
      <c r="D3" s="5"/>
      <c r="E3" s="5">
        <v>3640</v>
      </c>
      <c r="F3" s="5"/>
      <c r="G3" s="5"/>
      <c r="H3" s="5"/>
      <c r="I3" s="5"/>
      <c r="J3" s="5"/>
      <c r="K3" s="5">
        <v>1400</v>
      </c>
      <c r="L3" s="5"/>
      <c r="M3" s="5"/>
      <c r="N3" s="5"/>
      <c r="O3" s="5"/>
      <c r="P3" s="5"/>
      <c r="Q3" s="5"/>
      <c r="R3" s="5"/>
      <c r="S3" s="5"/>
      <c r="T3" s="5">
        <v>840</v>
      </c>
      <c r="U3" s="5"/>
      <c r="V3" s="5">
        <f>840</f>
        <v>840</v>
      </c>
      <c r="W3" s="5"/>
      <c r="X3" s="5"/>
      <c r="Y3" s="5"/>
      <c r="Z3" s="5"/>
      <c r="AA3" s="5"/>
      <c r="AB3" s="5"/>
      <c r="AC3" s="5"/>
      <c r="AD3" s="5"/>
      <c r="AE3" s="5"/>
      <c r="AF3" s="5">
        <f>5190</f>
        <v>5190</v>
      </c>
      <c r="AG3" s="6">
        <f t="shared" ref="AG3:AG18" si="0">SUM(B3:AF3)</f>
        <v>11910</v>
      </c>
    </row>
    <row r="4" spans="1:33" x14ac:dyDescent="0.25">
      <c r="A4" s="4" t="s">
        <v>3</v>
      </c>
      <c r="B4" s="5"/>
      <c r="C4" s="5"/>
      <c r="D4" s="5"/>
      <c r="E4" s="5"/>
      <c r="F4" s="5"/>
      <c r="G4" s="5"/>
      <c r="H4" s="5">
        <v>950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>
        <f t="shared" si="0"/>
        <v>950</v>
      </c>
    </row>
    <row r="5" spans="1:33" x14ac:dyDescent="0.25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>
        <f t="shared" si="0"/>
        <v>0</v>
      </c>
    </row>
    <row r="6" spans="1:33" x14ac:dyDescent="0.25">
      <c r="A6" s="4" t="s">
        <v>5</v>
      </c>
      <c r="B6" s="5"/>
      <c r="C6" s="5"/>
      <c r="D6" s="5"/>
      <c r="E6" s="5">
        <f>35+70+253.53+35</f>
        <v>393.53</v>
      </c>
      <c r="F6" s="5"/>
      <c r="G6" s="5">
        <f>83</f>
        <v>83</v>
      </c>
      <c r="H6" s="5"/>
      <c r="I6" s="5"/>
      <c r="J6" s="5"/>
      <c r="K6" s="5"/>
      <c r="L6" s="5"/>
      <c r="M6" s="5"/>
      <c r="N6" s="5">
        <f>70+700</f>
        <v>770</v>
      </c>
      <c r="O6" s="5"/>
      <c r="P6" s="5">
        <f>240</f>
        <v>240</v>
      </c>
      <c r="Q6" s="5"/>
      <c r="R6" s="5">
        <v>367</v>
      </c>
      <c r="S6" s="5"/>
      <c r="T6" s="5"/>
      <c r="U6" s="5"/>
      <c r="V6" s="5"/>
      <c r="W6" s="5"/>
      <c r="X6" s="5"/>
      <c r="Y6" s="5"/>
      <c r="Z6" s="5">
        <v>229.69</v>
      </c>
      <c r="AA6" s="5"/>
      <c r="AB6" s="5"/>
      <c r="AC6" s="5"/>
      <c r="AD6" s="5"/>
      <c r="AE6" s="5"/>
      <c r="AF6" s="5"/>
      <c r="AG6" s="6">
        <f t="shared" si="0"/>
        <v>2083.2199999999998</v>
      </c>
    </row>
    <row r="7" spans="1:33" x14ac:dyDescent="0.25">
      <c r="A7" s="4" t="s">
        <v>6</v>
      </c>
      <c r="B7" s="5"/>
      <c r="C7" s="5">
        <v>12</v>
      </c>
      <c r="D7" s="5"/>
      <c r="E7" s="5"/>
      <c r="F7" s="5"/>
      <c r="G7" s="5">
        <v>12</v>
      </c>
      <c r="H7" s="5"/>
      <c r="I7" s="5"/>
      <c r="J7" s="5"/>
      <c r="K7" s="5"/>
      <c r="L7" s="5"/>
      <c r="M7" s="5"/>
      <c r="N7" s="5"/>
      <c r="O7" s="5"/>
      <c r="P7" s="5"/>
      <c r="Q7" s="5">
        <v>12</v>
      </c>
      <c r="R7" s="5"/>
      <c r="S7" s="5"/>
      <c r="T7" s="5"/>
      <c r="U7" s="5">
        <v>12</v>
      </c>
      <c r="V7" s="5"/>
      <c r="W7" s="5"/>
      <c r="X7" s="5">
        <v>12</v>
      </c>
      <c r="Y7" s="5"/>
      <c r="Z7" s="5"/>
      <c r="AA7" s="5"/>
      <c r="AB7" s="5">
        <v>10</v>
      </c>
      <c r="AC7" s="5"/>
      <c r="AD7" s="5"/>
      <c r="AE7" s="5">
        <v>10</v>
      </c>
      <c r="AF7" s="5"/>
      <c r="AG7" s="6">
        <f t="shared" si="0"/>
        <v>80</v>
      </c>
    </row>
    <row r="8" spans="1:33" x14ac:dyDescent="0.25">
      <c r="A8" s="4" t="s">
        <v>36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v>747.3</v>
      </c>
      <c r="T8" s="5"/>
      <c r="U8" s="5"/>
      <c r="V8" s="5"/>
      <c r="W8" s="5"/>
      <c r="X8" s="5"/>
      <c r="Y8" s="5"/>
      <c r="Z8" s="5"/>
      <c r="AA8" s="5"/>
      <c r="AB8" s="5">
        <v>10584.94</v>
      </c>
      <c r="AC8" s="5"/>
      <c r="AD8" s="5"/>
      <c r="AE8" s="5"/>
      <c r="AF8" s="5"/>
      <c r="AG8" s="6">
        <f t="shared" si="0"/>
        <v>11332.24</v>
      </c>
    </row>
    <row r="9" spans="1:33" x14ac:dyDescent="0.25">
      <c r="A9" s="4" t="s">
        <v>8</v>
      </c>
      <c r="B9" s="5"/>
      <c r="C9" s="5">
        <v>10</v>
      </c>
      <c r="D9" s="5"/>
      <c r="E9" s="5"/>
      <c r="F9" s="5">
        <v>20</v>
      </c>
      <c r="G9" s="5">
        <v>15</v>
      </c>
      <c r="H9" s="5"/>
      <c r="I9" s="5"/>
      <c r="J9" s="5"/>
      <c r="K9" s="5"/>
      <c r="L9" s="5"/>
      <c r="M9" s="5">
        <v>1520.3</v>
      </c>
      <c r="N9" s="5"/>
      <c r="O9" s="5"/>
      <c r="P9" s="5"/>
      <c r="Q9" s="5"/>
      <c r="R9" s="5">
        <v>362</v>
      </c>
      <c r="S9" s="5"/>
      <c r="T9" s="5"/>
      <c r="U9" s="5">
        <v>10</v>
      </c>
      <c r="V9" s="5"/>
      <c r="W9" s="5">
        <f>900</f>
        <v>900</v>
      </c>
      <c r="X9" s="5"/>
      <c r="Y9" s="5">
        <v>10</v>
      </c>
      <c r="Z9" s="5">
        <f>1019</f>
        <v>1019</v>
      </c>
      <c r="AA9" s="5"/>
      <c r="AB9" s="5">
        <v>10</v>
      </c>
      <c r="AC9" s="5">
        <v>1119.75</v>
      </c>
      <c r="AD9" s="5"/>
      <c r="AE9" s="5"/>
      <c r="AF9" s="5"/>
      <c r="AG9" s="6">
        <f t="shared" si="0"/>
        <v>4996.05</v>
      </c>
    </row>
    <row r="10" spans="1:33" x14ac:dyDescent="0.25">
      <c r="A10" s="4" t="s">
        <v>9</v>
      </c>
      <c r="B10" s="5">
        <v>30</v>
      </c>
      <c r="C10" s="5"/>
      <c r="D10" s="5">
        <v>60</v>
      </c>
      <c r="E10" s="5"/>
      <c r="F10" s="5"/>
      <c r="G10" s="5">
        <f>60</f>
        <v>60</v>
      </c>
      <c r="H10" s="5"/>
      <c r="I10" s="5"/>
      <c r="J10" s="5"/>
      <c r="K10" s="5"/>
      <c r="L10" s="5"/>
      <c r="M10" s="5"/>
      <c r="N10" s="5"/>
      <c r="O10" s="5">
        <v>30</v>
      </c>
      <c r="P10" s="5"/>
      <c r="Q10" s="5">
        <v>30</v>
      </c>
      <c r="R10" s="5"/>
      <c r="S10" s="5">
        <f>420+30</f>
        <v>450</v>
      </c>
      <c r="T10" s="5">
        <v>30</v>
      </c>
      <c r="U10" s="5"/>
      <c r="V10" s="5"/>
      <c r="W10" s="5"/>
      <c r="X10" s="5"/>
      <c r="Y10" s="5">
        <f>180</f>
        <v>180</v>
      </c>
      <c r="Z10" s="5">
        <v>15</v>
      </c>
      <c r="AA10" s="5"/>
      <c r="AB10" s="5">
        <f>210</f>
        <v>210</v>
      </c>
      <c r="AC10" s="5"/>
      <c r="AD10" s="5">
        <v>60</v>
      </c>
      <c r="AE10" s="5"/>
      <c r="AF10" s="5">
        <f>550</f>
        <v>550</v>
      </c>
      <c r="AG10" s="6">
        <f t="shared" si="0"/>
        <v>1705</v>
      </c>
    </row>
    <row r="11" spans="1:33" x14ac:dyDescent="0.25">
      <c r="A11" s="4" t="s">
        <v>10</v>
      </c>
      <c r="B11" s="5"/>
      <c r="C11" s="5"/>
      <c r="D11" s="5"/>
      <c r="E11" s="5">
        <v>4484.28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v>1540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>
        <f t="shared" si="0"/>
        <v>6024.28</v>
      </c>
    </row>
    <row r="12" spans="1:33" x14ac:dyDescent="0.25">
      <c r="A12" s="4" t="s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>
        <f t="shared" si="0"/>
        <v>0</v>
      </c>
    </row>
    <row r="13" spans="1:33" x14ac:dyDescent="0.25">
      <c r="A13" s="4" t="s">
        <v>12</v>
      </c>
      <c r="B13" s="5"/>
      <c r="C13" s="5"/>
      <c r="D13" s="5"/>
      <c r="E13" s="5"/>
      <c r="F13" s="5"/>
      <c r="G13" s="5"/>
      <c r="H13" s="5"/>
      <c r="I13" s="5"/>
      <c r="J13" s="5"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>6319.56+281.3</f>
        <v>6600.8600000000006</v>
      </c>
      <c r="AC13" s="5"/>
      <c r="AD13" s="5"/>
      <c r="AE13" s="5"/>
      <c r="AF13" s="5"/>
      <c r="AG13" s="6">
        <f t="shared" si="0"/>
        <v>6600.8600000000006</v>
      </c>
    </row>
    <row r="14" spans="1:33" x14ac:dyDescent="0.25">
      <c r="A14" s="4" t="s">
        <v>13</v>
      </c>
      <c r="B14" s="5"/>
      <c r="C14" s="5"/>
      <c r="D14" s="5"/>
      <c r="E14" s="5"/>
      <c r="F14" s="5"/>
      <c r="G14" s="5">
        <v>42</v>
      </c>
      <c r="H14" s="5">
        <v>2680</v>
      </c>
      <c r="I14" s="5"/>
      <c r="J14" s="5"/>
      <c r="K14" s="5"/>
      <c r="L14" s="5"/>
      <c r="M14" s="5"/>
      <c r="N14" s="5">
        <v>18</v>
      </c>
      <c r="O14" s="5">
        <v>9</v>
      </c>
      <c r="P14" s="5"/>
      <c r="Q14" s="5"/>
      <c r="R14" s="5"/>
      <c r="S14" s="5"/>
      <c r="T14" s="5"/>
      <c r="U14" s="5">
        <v>9</v>
      </c>
      <c r="V14" s="5"/>
      <c r="W14" s="5"/>
      <c r="X14" s="5"/>
      <c r="Y14" s="5">
        <v>2520</v>
      </c>
      <c r="Z14" s="5"/>
      <c r="AA14" s="5"/>
      <c r="AB14" s="5"/>
      <c r="AC14" s="5"/>
      <c r="AD14" s="5"/>
      <c r="AE14" s="5"/>
      <c r="AF14" s="5"/>
      <c r="AG14" s="6">
        <f t="shared" si="0"/>
        <v>5278</v>
      </c>
    </row>
    <row r="15" spans="1:33" x14ac:dyDescent="0.25">
      <c r="A15" s="4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>
        <f t="shared" si="0"/>
        <v>0</v>
      </c>
    </row>
    <row r="16" spans="1:33" x14ac:dyDescent="0.25">
      <c r="A16" s="4" t="s">
        <v>15</v>
      </c>
      <c r="B16" s="5"/>
      <c r="C16" s="5"/>
      <c r="D16" s="5"/>
      <c r="E16" s="5">
        <v>900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>720+900</f>
        <v>1620</v>
      </c>
      <c r="AD16" s="5"/>
      <c r="AE16" s="5"/>
      <c r="AF16" s="5">
        <f>180</f>
        <v>180</v>
      </c>
      <c r="AG16" s="6">
        <f t="shared" si="0"/>
        <v>2700</v>
      </c>
    </row>
    <row r="17" spans="1:33" x14ac:dyDescent="0.25">
      <c r="A17" s="4" t="s">
        <v>16</v>
      </c>
      <c r="B17" s="5">
        <v>622</v>
      </c>
      <c r="C17" s="5">
        <f>46+16.04+36.89+59.81+70.5</f>
        <v>229.24</v>
      </c>
      <c r="D17" s="5"/>
      <c r="E17" s="5">
        <f>413+20+112+48+860</f>
        <v>1453</v>
      </c>
      <c r="F17" s="5"/>
      <c r="G17" s="5">
        <f>15+12+24+10+2.5</f>
        <v>63.5</v>
      </c>
      <c r="H17" s="5">
        <v>254.9</v>
      </c>
      <c r="I17" s="5"/>
      <c r="J17" s="5">
        <f>1284.36+6</f>
        <v>1290.3599999999999</v>
      </c>
      <c r="K17" s="5">
        <f>45+10</f>
        <v>55</v>
      </c>
      <c r="L17" s="5">
        <f>827.7</f>
        <v>827.7</v>
      </c>
      <c r="M17" s="5">
        <f>1008.25+442.5+296.33+30</f>
        <v>1777.08</v>
      </c>
      <c r="N17" s="5">
        <v>1464.48</v>
      </c>
      <c r="O17" s="5">
        <f>122+12+8+49.5</f>
        <v>191.5</v>
      </c>
      <c r="P17" s="5">
        <f>25+47</f>
        <v>72</v>
      </c>
      <c r="Q17" s="5">
        <f>18+12+30+16+63</f>
        <v>139</v>
      </c>
      <c r="R17" s="5">
        <f>367</f>
        <v>367</v>
      </c>
      <c r="S17" s="5">
        <f>120+413+60</f>
        <v>593</v>
      </c>
      <c r="T17" s="5">
        <v>8</v>
      </c>
      <c r="U17" s="5">
        <f>295.13+988.75+105</f>
        <v>1388.88</v>
      </c>
      <c r="V17" s="5">
        <f>659.74+50</f>
        <v>709.74</v>
      </c>
      <c r="W17" s="5"/>
      <c r="X17" s="5">
        <f>16+20+12+8</f>
        <v>56</v>
      </c>
      <c r="Y17" s="5">
        <f>20</f>
        <v>20</v>
      </c>
      <c r="Z17" s="5">
        <f>50+9+3</f>
        <v>62</v>
      </c>
      <c r="AA17" s="5">
        <f>8+150+12</f>
        <v>170</v>
      </c>
      <c r="AB17" s="5">
        <f>120</f>
        <v>120</v>
      </c>
      <c r="AC17" s="5">
        <f>915+1159.65+448+326+67.05+71.98+8+149.85+266.64</f>
        <v>3412.17</v>
      </c>
      <c r="AD17" s="5"/>
      <c r="AE17" s="5"/>
      <c r="AF17" s="5"/>
      <c r="AG17" s="6">
        <f t="shared" si="0"/>
        <v>15346.55</v>
      </c>
    </row>
    <row r="18" spans="1:33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>
        <f t="shared" si="0"/>
        <v>0</v>
      </c>
    </row>
    <row r="19" spans="1:33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8">
        <f>SUM(AG3:AG18)</f>
        <v>69006.2</v>
      </c>
    </row>
    <row r="22" spans="1:33" x14ac:dyDescent="0.25">
      <c r="A22" s="1" t="s">
        <v>17</v>
      </c>
      <c r="B22" s="2">
        <v>42125</v>
      </c>
      <c r="C22" s="2">
        <v>42126</v>
      </c>
      <c r="D22" s="2">
        <v>42127</v>
      </c>
      <c r="E22" s="2">
        <v>42128</v>
      </c>
      <c r="F22" s="2">
        <v>42129</v>
      </c>
      <c r="G22" s="2">
        <v>42130</v>
      </c>
      <c r="H22" s="2">
        <v>42131</v>
      </c>
      <c r="I22" s="2">
        <v>42132</v>
      </c>
      <c r="J22" s="2">
        <v>42133</v>
      </c>
      <c r="K22" s="2">
        <v>42134</v>
      </c>
      <c r="L22" s="2">
        <v>42135</v>
      </c>
      <c r="M22" s="2">
        <v>42136</v>
      </c>
      <c r="N22" s="2">
        <v>42137</v>
      </c>
      <c r="O22" s="2">
        <v>42138</v>
      </c>
      <c r="P22" s="2">
        <v>42139</v>
      </c>
      <c r="Q22" s="2">
        <v>42140</v>
      </c>
      <c r="R22" s="2">
        <v>42141</v>
      </c>
      <c r="S22" s="2">
        <v>42142</v>
      </c>
      <c r="T22" s="2">
        <v>42143</v>
      </c>
      <c r="U22" s="2">
        <v>42144</v>
      </c>
      <c r="V22" s="2">
        <v>42145</v>
      </c>
      <c r="W22" s="2">
        <v>42146</v>
      </c>
      <c r="X22" s="2">
        <v>42147</v>
      </c>
      <c r="Y22" s="2">
        <v>42148</v>
      </c>
      <c r="Z22" s="2">
        <v>42149</v>
      </c>
      <c r="AA22" s="2">
        <v>42150</v>
      </c>
      <c r="AB22" s="2">
        <v>42151</v>
      </c>
      <c r="AC22" s="2">
        <v>42152</v>
      </c>
      <c r="AD22" s="2">
        <v>42153</v>
      </c>
      <c r="AE22" s="2">
        <v>42154</v>
      </c>
      <c r="AF22" s="2">
        <v>42155</v>
      </c>
      <c r="AG22" s="3" t="s">
        <v>1</v>
      </c>
    </row>
    <row r="23" spans="1:33" x14ac:dyDescent="0.25">
      <c r="A23" s="9" t="s">
        <v>37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22">
        <v>716382.77</v>
      </c>
    </row>
    <row r="24" spans="1:33" x14ac:dyDescent="0.25">
      <c r="A24" s="4" t="s">
        <v>19</v>
      </c>
      <c r="B24" s="5">
        <f>851.97+733.21+1035.86+2476.19</f>
        <v>5097.2299999999996</v>
      </c>
      <c r="C24" s="5">
        <f>78.49+37.9</f>
        <v>116.38999999999999</v>
      </c>
      <c r="D24" s="5"/>
      <c r="E24" s="5">
        <f>121.12+3545.57</f>
        <v>3666.69</v>
      </c>
      <c r="F24" s="5"/>
      <c r="G24" s="5">
        <f>1301.68+7749.69+1241.61+600.78</f>
        <v>10893.76</v>
      </c>
      <c r="H24" s="5">
        <f>1732.08+248.3+121.12</f>
        <v>2101.5</v>
      </c>
      <c r="I24" s="5">
        <v>1846.08</v>
      </c>
      <c r="J24" s="5">
        <v>733.21</v>
      </c>
      <c r="K24" s="5">
        <v>279.39</v>
      </c>
      <c r="L24" s="5">
        <f>938.31+1712.61+3182.56</f>
        <v>5833.48</v>
      </c>
      <c r="M24" s="5">
        <f>668.61+2373.94+474.81+474.81+474.81+969+969</f>
        <v>6404.9800000000005</v>
      </c>
      <c r="N24" s="5">
        <f>628.88+3961.38</f>
        <v>4590.26</v>
      </c>
      <c r="O24" s="5"/>
      <c r="P24" s="5"/>
      <c r="Q24" s="5">
        <v>938.3</v>
      </c>
      <c r="R24" s="5">
        <v>1356.6</v>
      </c>
      <c r="S24" s="5">
        <f>938.31</f>
        <v>938.31</v>
      </c>
      <c r="T24" s="5">
        <f>610.47+86.42</f>
        <v>696.89</v>
      </c>
      <c r="U24" s="5"/>
      <c r="V24" s="5">
        <f>184.78+1164.96</f>
        <v>1349.74</v>
      </c>
      <c r="W24" s="5">
        <f>241.95+85.74+85.74</f>
        <v>413.43</v>
      </c>
      <c r="X24" s="5">
        <f>1069.13+129.22+1208</f>
        <v>2406.3500000000004</v>
      </c>
      <c r="Y24" s="5">
        <v>4972.03</v>
      </c>
      <c r="Z24" s="5"/>
      <c r="AA24" s="5">
        <f>247.28+600.78</f>
        <v>848.06</v>
      </c>
      <c r="AB24" s="5"/>
      <c r="AC24" s="5">
        <f>807.5+1200.15</f>
        <v>2007.65</v>
      </c>
      <c r="AD24" s="5">
        <f>830.11</f>
        <v>830.11</v>
      </c>
      <c r="AE24" s="5">
        <f>176.94+677.31+125.01</f>
        <v>979.26</v>
      </c>
      <c r="AF24" s="5"/>
      <c r="AG24" s="6">
        <f>SUM(B24:AF24)</f>
        <v>59299.7</v>
      </c>
    </row>
    <row r="25" spans="1:33" x14ac:dyDescent="0.25">
      <c r="A25" s="4" t="s">
        <v>20</v>
      </c>
      <c r="B25" s="5"/>
      <c r="C25" s="5"/>
      <c r="D25" s="5"/>
      <c r="E25" s="5"/>
      <c r="F25" s="5">
        <f>3486</f>
        <v>3486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>
        <v>2345</v>
      </c>
      <c r="U25" s="5">
        <f>3415</f>
        <v>3415</v>
      </c>
      <c r="V25" s="5"/>
      <c r="W25" s="5"/>
      <c r="X25" s="5"/>
      <c r="Y25" s="5"/>
      <c r="Z25" s="5"/>
      <c r="AA25" s="5"/>
      <c r="AB25" s="5">
        <v>8904</v>
      </c>
      <c r="AC25" s="5" t="s">
        <v>29</v>
      </c>
      <c r="AD25" s="5">
        <f>140</f>
        <v>140</v>
      </c>
      <c r="AE25" s="5">
        <f>6648</f>
        <v>6648</v>
      </c>
      <c r="AF25" s="5"/>
      <c r="AG25" s="6">
        <f>SUM(B25:AF25)</f>
        <v>24938</v>
      </c>
    </row>
    <row r="26" spans="1:33" x14ac:dyDescent="0.25">
      <c r="A26" s="4" t="s">
        <v>21</v>
      </c>
      <c r="B26" s="5">
        <v>37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>
        <f>SUM(B26:AF26)</f>
        <v>37</v>
      </c>
    </row>
    <row r="27" spans="1:33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9">
        <f>SUM(AG24:AG26)</f>
        <v>84274.7</v>
      </c>
    </row>
    <row r="29" spans="1:33" x14ac:dyDescent="0.25">
      <c r="A29" s="16" t="s">
        <v>22</v>
      </c>
      <c r="AG29" s="20">
        <f>AG27+AG23-AG19</f>
        <v>731651.27</v>
      </c>
    </row>
  </sheetData>
  <dataValidations count="1">
    <dataValidation allowBlank="1" showInputMessage="1" showErrorMessage="1" promptTitle="ATENÇÃO" prompt="No RDS a linha de UH's Alugadas soma o valor das cortesias do dia. Verifique se existe UH's Cortesia e SUBTRAIA o valor antes de preencher" sqref="B6:AA6"/>
  </dataValidations>
  <pageMargins left="0.511811024" right="0.511811024" top="0.78740157499999996" bottom="0.78740157499999996" header="0.31496062000000002" footer="0.31496062000000002"/>
  <customProperties>
    <customPr name="LastActive" r:id="rId1"/>
  </customPropertie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opLeftCell="Z1" workbookViewId="0">
      <selection activeCell="AG9" sqref="AG9"/>
    </sheetView>
  </sheetViews>
  <sheetFormatPr defaultColWidth="11.42578125" defaultRowHeight="15" x14ac:dyDescent="0.25"/>
  <cols>
    <col min="1" max="1" width="47" customWidth="1"/>
    <col min="2" max="2" width="13.5703125" customWidth="1"/>
    <col min="3" max="3" width="13.42578125" bestFit="1" customWidth="1"/>
    <col min="4" max="4" width="13.140625" customWidth="1"/>
    <col min="5" max="5" width="12.7109375" customWidth="1"/>
    <col min="8" max="8" width="13.5703125" bestFit="1" customWidth="1"/>
    <col min="10" max="10" width="14.5703125" customWidth="1"/>
    <col min="11" max="11" width="14.140625" customWidth="1"/>
    <col min="14" max="15" width="13.5703125" bestFit="1" customWidth="1"/>
    <col min="17" max="17" width="13.5703125" bestFit="1" customWidth="1"/>
    <col min="18" max="18" width="13.85546875" customWidth="1"/>
    <col min="19" max="19" width="11.7109375" customWidth="1"/>
    <col min="20" max="21" width="11.7109375" bestFit="1" customWidth="1"/>
    <col min="22" max="22" width="15" bestFit="1" customWidth="1"/>
    <col min="23" max="24" width="14.5703125" bestFit="1" customWidth="1"/>
    <col min="25" max="25" width="15" bestFit="1" customWidth="1"/>
    <col min="28" max="28" width="14.7109375" bestFit="1" customWidth="1"/>
    <col min="29" max="29" width="13.5703125" bestFit="1" customWidth="1"/>
    <col min="30" max="31" width="15" bestFit="1" customWidth="1"/>
    <col min="32" max="32" width="20.7109375" bestFit="1" customWidth="1"/>
  </cols>
  <sheetData>
    <row r="1" spans="1:32" ht="78.75" customHeight="1" x14ac:dyDescent="0.25"/>
    <row r="2" spans="1:32" x14ac:dyDescent="0.25">
      <c r="A2" s="1" t="s">
        <v>38</v>
      </c>
      <c r="B2" s="2">
        <v>42522</v>
      </c>
      <c r="C2" s="2">
        <v>42523</v>
      </c>
      <c r="D2" s="2">
        <v>42524</v>
      </c>
      <c r="E2" s="2">
        <v>42525</v>
      </c>
      <c r="F2" s="2">
        <v>42526</v>
      </c>
      <c r="G2" s="2">
        <v>42527</v>
      </c>
      <c r="H2" s="2">
        <v>42528</v>
      </c>
      <c r="I2" s="2">
        <v>42529</v>
      </c>
      <c r="J2" s="2">
        <v>42530</v>
      </c>
      <c r="K2" s="2">
        <v>42531</v>
      </c>
      <c r="L2" s="2">
        <v>42532</v>
      </c>
      <c r="M2" s="2">
        <v>42533</v>
      </c>
      <c r="N2" s="2">
        <v>42534</v>
      </c>
      <c r="O2" s="2">
        <v>42535</v>
      </c>
      <c r="P2" s="2">
        <v>42536</v>
      </c>
      <c r="Q2" s="2">
        <v>42537</v>
      </c>
      <c r="R2" s="2">
        <v>42538</v>
      </c>
      <c r="S2" s="2">
        <v>42539</v>
      </c>
      <c r="T2" s="2">
        <v>42540</v>
      </c>
      <c r="U2" s="2">
        <v>42541</v>
      </c>
      <c r="V2" s="2">
        <v>42542</v>
      </c>
      <c r="W2" s="2">
        <v>42543</v>
      </c>
      <c r="X2" s="2">
        <v>42544</v>
      </c>
      <c r="Y2" s="2">
        <v>42545</v>
      </c>
      <c r="Z2" s="2">
        <v>42546</v>
      </c>
      <c r="AA2" s="2">
        <v>42547</v>
      </c>
      <c r="AB2" s="2">
        <v>42548</v>
      </c>
      <c r="AC2" s="2">
        <v>42549</v>
      </c>
      <c r="AD2" s="2">
        <v>42550</v>
      </c>
      <c r="AE2" s="2">
        <v>42551</v>
      </c>
      <c r="AF2" s="3" t="s">
        <v>60</v>
      </c>
    </row>
    <row r="3" spans="1:32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>
        <v>1680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>
        <v>280</v>
      </c>
      <c r="AD3" s="5"/>
      <c r="AE3" s="5"/>
      <c r="AF3" s="6">
        <f t="shared" ref="AF3:AF18" si="0">SUM(B3:AE3)</f>
        <v>1960</v>
      </c>
    </row>
    <row r="4" spans="1:32" x14ac:dyDescent="0.25">
      <c r="A4" s="4" t="s">
        <v>3</v>
      </c>
      <c r="B4" s="5">
        <v>380</v>
      </c>
      <c r="C4" s="5"/>
      <c r="D4" s="5"/>
      <c r="E4" s="5"/>
      <c r="F4" s="5"/>
      <c r="G4" s="5"/>
      <c r="H4" s="5"/>
      <c r="I4" s="5">
        <v>300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>
        <f t="shared" si="0"/>
        <v>680</v>
      </c>
    </row>
    <row r="5" spans="1:32" x14ac:dyDescent="0.25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>
        <v>3756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6">
        <f t="shared" si="0"/>
        <v>3756</v>
      </c>
    </row>
    <row r="6" spans="1:32" x14ac:dyDescent="0.25">
      <c r="A6" s="4" t="s">
        <v>5</v>
      </c>
      <c r="B6" s="5"/>
      <c r="C6" s="5"/>
      <c r="D6" s="5"/>
      <c r="E6" s="5"/>
      <c r="F6" s="5"/>
      <c r="G6" s="5">
        <v>140</v>
      </c>
      <c r="H6" s="5"/>
      <c r="I6" s="5"/>
      <c r="J6" s="5">
        <f>280+242.37+35+35+543.25+105</f>
        <v>1240.6199999999999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>
        <v>79.540000000000006</v>
      </c>
      <c r="Y6" s="5"/>
      <c r="Z6" s="5"/>
      <c r="AA6" s="5"/>
      <c r="AB6" s="5"/>
      <c r="AC6" s="5"/>
      <c r="AD6" s="5"/>
      <c r="AE6" s="5"/>
      <c r="AF6" s="6">
        <f t="shared" si="0"/>
        <v>1460.1599999999999</v>
      </c>
    </row>
    <row r="7" spans="1:32" x14ac:dyDescent="0.25">
      <c r="A7" s="4" t="s">
        <v>6</v>
      </c>
      <c r="B7" s="5"/>
      <c r="C7" s="5"/>
      <c r="D7" s="5"/>
      <c r="E7" s="5">
        <v>12</v>
      </c>
      <c r="F7" s="5">
        <v>10</v>
      </c>
      <c r="G7" s="5"/>
      <c r="H7" s="5"/>
      <c r="I7" s="5"/>
      <c r="J7" s="5"/>
      <c r="K7" s="5"/>
      <c r="L7" s="5">
        <v>12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>
        <v>12</v>
      </c>
      <c r="AD7" s="5"/>
      <c r="AE7" s="5"/>
      <c r="AF7" s="6">
        <f t="shared" si="0"/>
        <v>46</v>
      </c>
    </row>
    <row r="8" spans="1:32" x14ac:dyDescent="0.25">
      <c r="A8" s="4" t="s">
        <v>32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v>739.4</v>
      </c>
      <c r="T8" s="5"/>
      <c r="U8" s="5"/>
      <c r="V8" s="5"/>
      <c r="W8" s="5"/>
      <c r="X8" s="5">
        <v>12015.24</v>
      </c>
      <c r="Y8" s="5"/>
      <c r="Z8" s="5"/>
      <c r="AA8" s="5"/>
      <c r="AB8" s="5"/>
      <c r="AC8" s="5"/>
      <c r="AD8" s="5"/>
      <c r="AE8" s="5"/>
      <c r="AF8" s="6">
        <f t="shared" si="0"/>
        <v>12754.64</v>
      </c>
    </row>
    <row r="9" spans="1:32" x14ac:dyDescent="0.25">
      <c r="A9" s="4" t="s">
        <v>8</v>
      </c>
      <c r="B9" s="5"/>
      <c r="C9" s="5"/>
      <c r="D9" s="5"/>
      <c r="E9" s="5"/>
      <c r="F9" s="5"/>
      <c r="G9" s="5"/>
      <c r="H9" s="5"/>
      <c r="I9" s="5"/>
      <c r="J9" s="5">
        <f>57.44+276.68+1345.61</f>
        <v>1679.73</v>
      </c>
      <c r="K9" s="5">
        <f>40</f>
        <v>40</v>
      </c>
      <c r="L9" s="5"/>
      <c r="M9" s="5"/>
      <c r="N9" s="5"/>
      <c r="O9" s="5"/>
      <c r="P9" s="5"/>
      <c r="Q9" s="5"/>
      <c r="R9" s="5"/>
      <c r="S9" s="5">
        <f>874.12</f>
        <v>874.12</v>
      </c>
      <c r="T9" s="5"/>
      <c r="U9" s="5"/>
      <c r="V9" s="5"/>
      <c r="W9" s="5"/>
      <c r="X9" s="5"/>
      <c r="Y9" s="5"/>
      <c r="Z9" s="5"/>
      <c r="AA9" s="5">
        <v>312.58</v>
      </c>
      <c r="AB9" s="5"/>
      <c r="AC9" s="5"/>
      <c r="AD9" s="5">
        <v>17.149999999999999</v>
      </c>
      <c r="AE9" s="5"/>
      <c r="AF9" s="6">
        <f t="shared" si="0"/>
        <v>2923.58</v>
      </c>
    </row>
    <row r="10" spans="1:32" x14ac:dyDescent="0.25">
      <c r="A10" s="4" t="s">
        <v>9</v>
      </c>
      <c r="B10" s="5"/>
      <c r="C10" s="5"/>
      <c r="D10" s="5"/>
      <c r="E10" s="5"/>
      <c r="F10" s="5">
        <f>45</f>
        <v>45</v>
      </c>
      <c r="G10" s="5"/>
      <c r="H10" s="5">
        <f>30</f>
        <v>30</v>
      </c>
      <c r="I10" s="5"/>
      <c r="J10" s="5"/>
      <c r="K10" s="5"/>
      <c r="L10" s="5">
        <v>45</v>
      </c>
      <c r="M10" s="5">
        <f>60</f>
        <v>60</v>
      </c>
      <c r="N10" s="5"/>
      <c r="O10" s="5"/>
      <c r="P10" s="5"/>
      <c r="Q10" s="5"/>
      <c r="R10" s="5">
        <v>1280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>
        <v>60</v>
      </c>
      <c r="AE10" s="5"/>
      <c r="AF10" s="6">
        <f t="shared" si="0"/>
        <v>1520</v>
      </c>
    </row>
    <row r="11" spans="1:32" x14ac:dyDescent="0.25">
      <c r="A11" s="4" t="s">
        <v>10</v>
      </c>
      <c r="B11" s="5">
        <v>3388.5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6">
        <f t="shared" si="0"/>
        <v>3388.5</v>
      </c>
    </row>
    <row r="12" spans="1:32" x14ac:dyDescent="0.25">
      <c r="A12" s="4" t="s">
        <v>11</v>
      </c>
      <c r="B12" s="5" t="s">
        <v>29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6">
        <f t="shared" si="0"/>
        <v>0</v>
      </c>
    </row>
    <row r="13" spans="1:32" x14ac:dyDescent="0.25">
      <c r="A13" s="4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v>6124.07</v>
      </c>
      <c r="AC13" s="5"/>
      <c r="AD13" s="5"/>
      <c r="AE13" s="5"/>
      <c r="AF13" s="6">
        <f t="shared" si="0"/>
        <v>6124.07</v>
      </c>
    </row>
    <row r="14" spans="1:32" x14ac:dyDescent="0.25">
      <c r="A14" s="4" t="s">
        <v>13</v>
      </c>
      <c r="B14" s="5"/>
      <c r="C14" s="5"/>
      <c r="D14" s="5"/>
      <c r="E14" s="5"/>
      <c r="F14" s="5"/>
      <c r="G14" s="5"/>
      <c r="H14" s="5">
        <v>1730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v>2670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6">
        <f t="shared" si="0"/>
        <v>4400</v>
      </c>
    </row>
    <row r="15" spans="1:32" x14ac:dyDescent="0.25">
      <c r="A15" s="4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6">
        <f t="shared" si="0"/>
        <v>0</v>
      </c>
    </row>
    <row r="16" spans="1:32" x14ac:dyDescent="0.25">
      <c r="A16" s="4" t="s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6">
        <f t="shared" si="0"/>
        <v>0</v>
      </c>
    </row>
    <row r="17" spans="1:32" x14ac:dyDescent="0.25">
      <c r="A17" s="4" t="s">
        <v>16</v>
      </c>
      <c r="B17" s="5">
        <v>0</v>
      </c>
      <c r="C17" s="5">
        <f>17.5+32+22.5+352+40.5+35+5.5</f>
        <v>505</v>
      </c>
      <c r="D17" s="5">
        <f>44.8+40.5+227.5+1567</f>
        <v>1879.8</v>
      </c>
      <c r="E17" s="5"/>
      <c r="F17" s="5">
        <f>120+18</f>
        <v>138</v>
      </c>
      <c r="G17" s="5">
        <v>8</v>
      </c>
      <c r="H17" s="5"/>
      <c r="I17" s="5">
        <f>43.34+6</f>
        <v>49.34</v>
      </c>
      <c r="J17" s="5">
        <f>215.6+189+682.1+110+915.33+75.8+16</f>
        <v>2203.8300000000004</v>
      </c>
      <c r="K17" s="5"/>
      <c r="L17" s="5"/>
      <c r="M17" s="5"/>
      <c r="N17" s="5">
        <f>8+7.8</f>
        <v>15.8</v>
      </c>
      <c r="O17" s="5">
        <f>270+10</f>
        <v>280</v>
      </c>
      <c r="P17" s="5"/>
      <c r="Q17" s="5">
        <f>1085+200</f>
        <v>1285</v>
      </c>
      <c r="R17" s="5">
        <f>250</f>
        <v>250</v>
      </c>
      <c r="S17" s="5">
        <f>450+160</f>
        <v>610</v>
      </c>
      <c r="T17" s="5">
        <v>8</v>
      </c>
      <c r="U17" s="5"/>
      <c r="V17" s="5"/>
      <c r="W17" s="5"/>
      <c r="X17" s="5">
        <f>200+675+590+72.5+28</f>
        <v>1565.5</v>
      </c>
      <c r="Y17" s="5"/>
      <c r="Z17" s="5">
        <v>8</v>
      </c>
      <c r="AA17" s="5"/>
      <c r="AB17" s="5">
        <v>14</v>
      </c>
      <c r="AC17" s="5">
        <f>60</f>
        <v>60</v>
      </c>
      <c r="AD17" s="5">
        <v>17.5</v>
      </c>
      <c r="AE17" s="5">
        <v>8</v>
      </c>
      <c r="AF17" s="6">
        <f t="shared" si="0"/>
        <v>8905.77</v>
      </c>
    </row>
    <row r="18" spans="1:32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6">
        <f t="shared" si="0"/>
        <v>0</v>
      </c>
    </row>
    <row r="19" spans="1:32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8">
        <f>SUM(AF3:AF18)</f>
        <v>47918.720000000001</v>
      </c>
    </row>
    <row r="22" spans="1:32" x14ac:dyDescent="0.25">
      <c r="A22" s="1" t="s">
        <v>17</v>
      </c>
      <c r="B22" s="2">
        <v>42522</v>
      </c>
      <c r="C22" s="2">
        <v>42523</v>
      </c>
      <c r="D22" s="2">
        <v>42524</v>
      </c>
      <c r="E22" s="2">
        <v>42525</v>
      </c>
      <c r="F22" s="2">
        <v>42526</v>
      </c>
      <c r="G22" s="2">
        <v>42527</v>
      </c>
      <c r="H22" s="2">
        <v>42528</v>
      </c>
      <c r="I22" s="2">
        <v>42529</v>
      </c>
      <c r="J22" s="2">
        <v>42530</v>
      </c>
      <c r="K22" s="2">
        <v>42531</v>
      </c>
      <c r="L22" s="2">
        <v>42532</v>
      </c>
      <c r="M22" s="2">
        <v>42533</v>
      </c>
      <c r="N22" s="2">
        <v>42534</v>
      </c>
      <c r="O22" s="2">
        <v>42535</v>
      </c>
      <c r="P22" s="2">
        <v>42536</v>
      </c>
      <c r="Q22" s="2">
        <v>42537</v>
      </c>
      <c r="R22" s="2">
        <v>42538</v>
      </c>
      <c r="S22" s="2">
        <v>42539</v>
      </c>
      <c r="T22" s="2">
        <v>42540</v>
      </c>
      <c r="U22" s="2">
        <v>42541</v>
      </c>
      <c r="V22" s="2">
        <v>42542</v>
      </c>
      <c r="W22" s="2">
        <v>42543</v>
      </c>
      <c r="X22" s="2">
        <v>42544</v>
      </c>
      <c r="Y22" s="2">
        <v>42545</v>
      </c>
      <c r="Z22" s="2">
        <v>42546</v>
      </c>
      <c r="AA22" s="2">
        <v>42547</v>
      </c>
      <c r="AB22" s="2">
        <v>42548</v>
      </c>
      <c r="AC22" s="2">
        <v>42549</v>
      </c>
      <c r="AD22" s="2">
        <v>42550</v>
      </c>
      <c r="AE22" s="2">
        <v>42551</v>
      </c>
      <c r="AF22" s="3" t="s">
        <v>1</v>
      </c>
    </row>
    <row r="23" spans="1:32" x14ac:dyDescent="0.25">
      <c r="A23" s="9" t="s">
        <v>39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24">
        <v>731651.27</v>
      </c>
    </row>
    <row r="24" spans="1:32" x14ac:dyDescent="0.25">
      <c r="A24" s="4" t="s">
        <v>19</v>
      </c>
      <c r="B24" s="5">
        <f>733.21+221.31</f>
        <v>954.52</v>
      </c>
      <c r="C24" s="5"/>
      <c r="D24" s="5">
        <f>2123.27</f>
        <v>2123.27</v>
      </c>
      <c r="E24" s="5">
        <f>121.12+3545.57+3550.61+280.33+31.78</f>
        <v>7529.41</v>
      </c>
      <c r="F24" s="5"/>
      <c r="G24" s="5" t="s">
        <v>40</v>
      </c>
      <c r="H24" s="5">
        <f>1732.08+248.3+121.12</f>
        <v>2101.5</v>
      </c>
      <c r="I24" s="5"/>
      <c r="J24" s="5">
        <v>733.21</v>
      </c>
      <c r="K24" s="5"/>
      <c r="L24" s="5"/>
      <c r="M24" s="5"/>
      <c r="N24" s="5">
        <v>202.45</v>
      </c>
      <c r="O24" s="5">
        <v>117.67</v>
      </c>
      <c r="P24" s="5">
        <v>232.9</v>
      </c>
      <c r="Q24" s="5">
        <f>938.3+3536.85</f>
        <v>4475.1499999999996</v>
      </c>
      <c r="R24" s="5">
        <f>1356.6+5292.9+2246.9+943.22+1122.82</f>
        <v>10962.439999999999</v>
      </c>
      <c r="S24" s="5">
        <f>938.95+377.91+845</f>
        <v>2161.86</v>
      </c>
      <c r="T24" s="5">
        <v>215.12</v>
      </c>
      <c r="U24" s="5">
        <v>5586.31</v>
      </c>
      <c r="V24" s="5">
        <v>2163.37</v>
      </c>
      <c r="W24" s="5">
        <v>230</v>
      </c>
      <c r="X24" s="5">
        <f>1069.1+1208+3182.56+1557.63</f>
        <v>7017.29</v>
      </c>
      <c r="Y24" s="5"/>
      <c r="Z24" s="5"/>
      <c r="AA24" s="5">
        <v>600.78</v>
      </c>
      <c r="AB24" s="5"/>
      <c r="AC24" s="5">
        <f>149.23+577.52+2843.99</f>
        <v>3570.74</v>
      </c>
      <c r="AD24" s="5">
        <f>830.11+233.529+809.115+444.771+170.55</f>
        <v>2488.0750000000003</v>
      </c>
      <c r="AE24" s="5">
        <f>664.73+424.74</f>
        <v>1089.47</v>
      </c>
      <c r="AF24" s="25">
        <f>SUM(B24:AE24)</f>
        <v>54555.534999999996</v>
      </c>
    </row>
    <row r="25" spans="1:32" x14ac:dyDescent="0.25">
      <c r="A25" s="4" t="s">
        <v>20</v>
      </c>
      <c r="B25" s="5">
        <v>2805</v>
      </c>
      <c r="C25" s="5"/>
      <c r="D25" s="5">
        <v>1150</v>
      </c>
      <c r="E25" s="5"/>
      <c r="F25" s="5"/>
      <c r="G25" s="5"/>
      <c r="H25" s="5"/>
      <c r="I25" s="5"/>
      <c r="J25" s="5">
        <f>12480+4648+5720</f>
        <v>22848</v>
      </c>
      <c r="K25" s="5">
        <f>7032</f>
        <v>7032</v>
      </c>
      <c r="L25" s="5"/>
      <c r="M25" s="5"/>
      <c r="N25" s="5"/>
      <c r="O25" s="5">
        <v>2324</v>
      </c>
      <c r="P25" s="5"/>
      <c r="Q25" s="5">
        <v>5122.3999999999996</v>
      </c>
      <c r="R25" s="5">
        <v>2020</v>
      </c>
      <c r="S25" s="5"/>
      <c r="T25" s="5"/>
      <c r="U25" s="5"/>
      <c r="V25" s="5">
        <f>14729.6</f>
        <v>14729.6</v>
      </c>
      <c r="W25" s="5">
        <v>17520</v>
      </c>
      <c r="X25" s="5"/>
      <c r="Y25" s="5">
        <v>15028</v>
      </c>
      <c r="Z25" s="5"/>
      <c r="AA25" s="5"/>
      <c r="AB25" s="5"/>
      <c r="AC25" s="5">
        <v>1057</v>
      </c>
      <c r="AD25" s="5">
        <v>16511.5</v>
      </c>
      <c r="AE25" s="5">
        <f>6272+12480+1997.5+9296</f>
        <v>30045.5</v>
      </c>
      <c r="AF25" s="25">
        <f>SUM(B25:AE25)</f>
        <v>138193</v>
      </c>
    </row>
    <row r="26" spans="1:32" x14ac:dyDescent="0.25">
      <c r="A26" s="4" t="s">
        <v>21</v>
      </c>
      <c r="B26" s="5"/>
      <c r="C26" s="5"/>
      <c r="D26" s="5"/>
      <c r="E26" s="5"/>
      <c r="F26" s="5"/>
      <c r="G26" s="5"/>
      <c r="H26" s="5">
        <v>116.6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v>209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25">
        <f>SUM(B26:AE26)</f>
        <v>325.60000000000002</v>
      </c>
    </row>
    <row r="27" spans="1:32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26">
        <f>SUM(AF24:AF26)</f>
        <v>193074.13500000001</v>
      </c>
    </row>
    <row r="28" spans="1:32" x14ac:dyDescent="0.25">
      <c r="AF28" s="27"/>
    </row>
    <row r="29" spans="1:32" x14ac:dyDescent="0.25">
      <c r="A29" s="16" t="s">
        <v>22</v>
      </c>
      <c r="AF29" s="28">
        <f>AF27+AF23-AF19</f>
        <v>876806.68500000006</v>
      </c>
    </row>
  </sheetData>
  <dataValidations count="1">
    <dataValidation allowBlank="1" showInputMessage="1" showErrorMessage="1" promptTitle="ATENÇÃO" prompt="No RDS a linha de UH's Alugadas soma o valor das cortesias do dia. Verifique se existe UH's Cortesia e SUBTRAIA o valor antes de preencher" sqref="B6:AA6"/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9"/>
  <sheetViews>
    <sheetView topLeftCell="Y1" workbookViewId="0">
      <selection activeCell="AH6" sqref="AH6"/>
    </sheetView>
  </sheetViews>
  <sheetFormatPr defaultColWidth="11.42578125" defaultRowHeight="15" x14ac:dyDescent="0.25"/>
  <cols>
    <col min="1" max="1" width="49.85546875" customWidth="1"/>
    <col min="2" max="2" width="13.5703125" bestFit="1" customWidth="1"/>
    <col min="3" max="3" width="13.42578125" bestFit="1" customWidth="1"/>
    <col min="4" max="4" width="13.7109375" customWidth="1"/>
    <col min="5" max="5" width="15" bestFit="1" customWidth="1"/>
    <col min="6" max="6" width="13.5703125" bestFit="1" customWidth="1"/>
    <col min="7" max="7" width="14" customWidth="1"/>
    <col min="8" max="8" width="13.7109375" customWidth="1"/>
    <col min="9" max="9" width="12.5703125" customWidth="1"/>
    <col min="10" max="10" width="11.7109375" bestFit="1" customWidth="1"/>
    <col min="11" max="11" width="14.28515625" customWidth="1"/>
    <col min="12" max="12" width="13.5703125" bestFit="1" customWidth="1"/>
    <col min="13" max="13" width="14.28515625" customWidth="1"/>
    <col min="14" max="14" width="13.5703125" bestFit="1" customWidth="1"/>
    <col min="15" max="15" width="16.28515625" customWidth="1"/>
    <col min="16" max="17" width="13.5703125" bestFit="1" customWidth="1"/>
    <col min="18" max="18" width="13.85546875" customWidth="1"/>
    <col min="19" max="23" width="13.5703125" bestFit="1" customWidth="1"/>
    <col min="26" max="28" width="15" bestFit="1" customWidth="1"/>
    <col min="30" max="31" width="13.5703125" bestFit="1" customWidth="1"/>
    <col min="32" max="32" width="15" bestFit="1" customWidth="1"/>
    <col min="33" max="33" width="20" bestFit="1" customWidth="1"/>
  </cols>
  <sheetData>
    <row r="1" spans="1:33" ht="78.75" customHeight="1" x14ac:dyDescent="0.25"/>
    <row r="2" spans="1:33" x14ac:dyDescent="0.25">
      <c r="A2" s="1" t="s">
        <v>41</v>
      </c>
      <c r="B2" s="2">
        <v>42552</v>
      </c>
      <c r="C2" s="2">
        <v>42553</v>
      </c>
      <c r="D2" s="2">
        <v>42554</v>
      </c>
      <c r="E2" s="2">
        <v>42555</v>
      </c>
      <c r="F2" s="2">
        <v>42556</v>
      </c>
      <c r="G2" s="2">
        <v>42557</v>
      </c>
      <c r="H2" s="2">
        <v>42558</v>
      </c>
      <c r="I2" s="2">
        <v>42559</v>
      </c>
      <c r="J2" s="2">
        <v>42560</v>
      </c>
      <c r="K2" s="2">
        <v>42561</v>
      </c>
      <c r="L2" s="2">
        <v>42562</v>
      </c>
      <c r="M2" s="2">
        <v>42563</v>
      </c>
      <c r="N2" s="2">
        <v>42564</v>
      </c>
      <c r="O2" s="2">
        <v>42565</v>
      </c>
      <c r="P2" s="2">
        <v>42566</v>
      </c>
      <c r="Q2" s="2">
        <v>42567</v>
      </c>
      <c r="R2" s="2">
        <v>42568</v>
      </c>
      <c r="S2" s="2">
        <v>42569</v>
      </c>
      <c r="T2" s="2">
        <v>42570</v>
      </c>
      <c r="U2" s="2">
        <v>42571</v>
      </c>
      <c r="V2" s="2">
        <v>42572</v>
      </c>
      <c r="W2" s="2">
        <v>42573</v>
      </c>
      <c r="X2" s="2">
        <v>42574</v>
      </c>
      <c r="Y2" s="2">
        <v>42575</v>
      </c>
      <c r="Z2" s="2">
        <v>42576</v>
      </c>
      <c r="AA2" s="2">
        <v>42577</v>
      </c>
      <c r="AB2" s="2">
        <v>42578</v>
      </c>
      <c r="AC2" s="2">
        <v>42579</v>
      </c>
      <c r="AD2" s="2">
        <v>42580</v>
      </c>
      <c r="AE2" s="2">
        <v>42581</v>
      </c>
      <c r="AF2" s="2">
        <v>42582</v>
      </c>
      <c r="AG2" s="3" t="s">
        <v>61</v>
      </c>
    </row>
    <row r="3" spans="1:33" x14ac:dyDescent="0.25">
      <c r="A3" s="4" t="s">
        <v>2</v>
      </c>
      <c r="B3" s="5"/>
      <c r="C3" s="5"/>
      <c r="D3" s="5"/>
      <c r="E3" s="5"/>
      <c r="F3" s="5">
        <v>2240</v>
      </c>
      <c r="G3" s="5"/>
      <c r="H3" s="5"/>
      <c r="I3" s="5"/>
      <c r="J3" s="5"/>
      <c r="K3" s="5"/>
      <c r="L3" s="5">
        <v>2520</v>
      </c>
      <c r="M3" s="5"/>
      <c r="N3" s="5"/>
      <c r="O3" s="5"/>
      <c r="P3" s="5"/>
      <c r="Q3" s="5"/>
      <c r="R3" s="5"/>
      <c r="S3" s="5">
        <v>3080</v>
      </c>
      <c r="T3" s="5"/>
      <c r="U3" s="5"/>
      <c r="V3" s="5">
        <v>4442</v>
      </c>
      <c r="W3" s="5">
        <v>308.8</v>
      </c>
      <c r="X3" s="5"/>
      <c r="Y3" s="5"/>
      <c r="Z3" s="5"/>
      <c r="AA3" s="5">
        <v>4550</v>
      </c>
      <c r="AB3" s="5"/>
      <c r="AC3" s="5"/>
      <c r="AD3" s="5"/>
      <c r="AE3" s="5">
        <v>4800</v>
      </c>
      <c r="AF3" s="5"/>
      <c r="AG3" s="6">
        <f t="shared" ref="AG3:AG18" si="0">SUM(B3:AF3)</f>
        <v>21940.799999999999</v>
      </c>
    </row>
    <row r="4" spans="1:33" x14ac:dyDescent="0.2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>
        <v>360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>
        <v>800</v>
      </c>
      <c r="AB4" s="5"/>
      <c r="AC4" s="5"/>
      <c r="AD4" s="5"/>
      <c r="AE4" s="5">
        <v>250</v>
      </c>
      <c r="AF4" s="5"/>
      <c r="AG4" s="6">
        <f t="shared" si="0"/>
        <v>1410</v>
      </c>
    </row>
    <row r="5" spans="1:33" x14ac:dyDescent="0.25">
      <c r="A5" s="4" t="s">
        <v>4</v>
      </c>
      <c r="B5" s="5"/>
      <c r="C5" s="5"/>
      <c r="D5" s="5"/>
      <c r="E5" s="5"/>
      <c r="F5" s="5"/>
      <c r="G5" s="5">
        <v>2376.15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2343.5500000000002</v>
      </c>
      <c r="W5" s="5"/>
      <c r="X5" s="5"/>
      <c r="Y5" s="5"/>
      <c r="Z5" s="5"/>
      <c r="AA5" s="5"/>
      <c r="AB5" s="5">
        <v>3672.45</v>
      </c>
      <c r="AC5" s="5"/>
      <c r="AD5" s="5"/>
      <c r="AE5" s="5"/>
      <c r="AF5" s="5"/>
      <c r="AG5" s="6">
        <f t="shared" si="0"/>
        <v>8392.1500000000015</v>
      </c>
    </row>
    <row r="6" spans="1:33" x14ac:dyDescent="0.25">
      <c r="A6" s="4" t="s">
        <v>5</v>
      </c>
      <c r="B6" s="5"/>
      <c r="C6" s="5"/>
      <c r="D6" s="5"/>
      <c r="E6" s="5"/>
      <c r="F6" s="5">
        <v>35</v>
      </c>
      <c r="G6" s="5">
        <f>50.42+62.22+137.8+210+22.96</f>
        <v>483.4</v>
      </c>
      <c r="H6" s="5"/>
      <c r="I6" s="5"/>
      <c r="J6" s="5"/>
      <c r="K6" s="5"/>
      <c r="L6" s="5"/>
      <c r="M6" s="5"/>
      <c r="N6" s="5"/>
      <c r="O6" s="5">
        <f>70+76+70</f>
        <v>216</v>
      </c>
      <c r="P6" s="5"/>
      <c r="Q6" s="5"/>
      <c r="R6" s="5">
        <v>70</v>
      </c>
      <c r="S6" s="5"/>
      <c r="T6" s="5"/>
      <c r="U6" s="5"/>
      <c r="V6" s="5"/>
      <c r="W6" s="5">
        <v>70</v>
      </c>
      <c r="X6" s="5"/>
      <c r="Y6" s="5">
        <v>686.65</v>
      </c>
      <c r="Z6" s="5"/>
      <c r="AA6" s="5"/>
      <c r="AB6" s="5"/>
      <c r="AC6" s="5"/>
      <c r="AD6" s="5"/>
      <c r="AE6" s="5">
        <v>70</v>
      </c>
      <c r="AF6" s="5"/>
      <c r="AG6" s="6">
        <f t="shared" si="0"/>
        <v>1631.05</v>
      </c>
    </row>
    <row r="7" spans="1:33" x14ac:dyDescent="0.25">
      <c r="A7" s="4" t="s">
        <v>6</v>
      </c>
      <c r="B7" s="5">
        <v>12</v>
      </c>
      <c r="C7" s="5">
        <f>20+20</f>
        <v>40</v>
      </c>
      <c r="D7" s="5"/>
      <c r="E7" s="5"/>
      <c r="F7" s="5"/>
      <c r="G7" s="5">
        <v>12</v>
      </c>
      <c r="H7" s="5"/>
      <c r="I7" s="5">
        <v>12</v>
      </c>
      <c r="J7" s="5"/>
      <c r="K7" s="5">
        <v>12</v>
      </c>
      <c r="L7" s="5">
        <v>12</v>
      </c>
      <c r="M7" s="5"/>
      <c r="N7" s="5">
        <v>12</v>
      </c>
      <c r="O7" s="5"/>
      <c r="P7" s="5"/>
      <c r="Q7" s="5"/>
      <c r="R7" s="5"/>
      <c r="S7" s="5">
        <v>12</v>
      </c>
      <c r="T7" s="5">
        <v>12</v>
      </c>
      <c r="U7" s="5"/>
      <c r="V7" s="5">
        <v>12</v>
      </c>
      <c r="W7" s="5"/>
      <c r="X7" s="5">
        <v>12</v>
      </c>
      <c r="Y7" s="5">
        <v>12</v>
      </c>
      <c r="Z7" s="5">
        <v>12</v>
      </c>
      <c r="AA7" s="5">
        <v>12</v>
      </c>
      <c r="AB7" s="5"/>
      <c r="AC7" s="5">
        <v>12</v>
      </c>
      <c r="AD7" s="5">
        <v>12</v>
      </c>
      <c r="AE7" s="5"/>
      <c r="AF7" s="5">
        <v>12</v>
      </c>
      <c r="AG7" s="6">
        <f t="shared" si="0"/>
        <v>232</v>
      </c>
    </row>
    <row r="8" spans="1:33" x14ac:dyDescent="0.25">
      <c r="A8" s="4" t="s">
        <v>42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>
        <v>25754.93</v>
      </c>
      <c r="AC8" s="5"/>
      <c r="AD8" s="5"/>
      <c r="AE8" s="5"/>
      <c r="AF8" s="5"/>
      <c r="AG8" s="6">
        <f t="shared" si="0"/>
        <v>25754.93</v>
      </c>
    </row>
    <row r="9" spans="1:33" x14ac:dyDescent="0.25">
      <c r="A9" s="4" t="s">
        <v>8</v>
      </c>
      <c r="B9" s="5">
        <f>30+16</f>
        <v>46</v>
      </c>
      <c r="C9" s="5"/>
      <c r="D9" s="5"/>
      <c r="E9" s="5">
        <v>227</v>
      </c>
      <c r="F9" s="5">
        <v>32</v>
      </c>
      <c r="G9" s="5">
        <f>778.98+32+33</f>
        <v>843.98</v>
      </c>
      <c r="H9" s="5"/>
      <c r="I9" s="5"/>
      <c r="J9" s="5"/>
      <c r="K9" s="5"/>
      <c r="L9" s="5">
        <f>40+21</f>
        <v>61</v>
      </c>
      <c r="M9" s="5"/>
      <c r="N9" s="5">
        <v>10</v>
      </c>
      <c r="O9" s="5">
        <f>710.48+16</f>
        <v>726.48</v>
      </c>
      <c r="P9" s="5"/>
      <c r="Q9" s="5">
        <v>12</v>
      </c>
      <c r="R9" s="5"/>
      <c r="S9" s="5">
        <f>17.15+1867</f>
        <v>1884.15</v>
      </c>
      <c r="T9" s="5"/>
      <c r="U9" s="5"/>
      <c r="V9" s="5">
        <v>15</v>
      </c>
      <c r="W9" s="5">
        <f>157.92+420+30</f>
        <v>607.91999999999996</v>
      </c>
      <c r="X9" s="5"/>
      <c r="Y9" s="5"/>
      <c r="Z9" s="5">
        <v>84</v>
      </c>
      <c r="AA9" s="5">
        <f>36+30+17.15</f>
        <v>83.15</v>
      </c>
      <c r="AB9" s="5">
        <f>1033.84</f>
        <v>1033.8399999999999</v>
      </c>
      <c r="AC9" s="5"/>
      <c r="AD9" s="5"/>
      <c r="AE9" s="5">
        <f>116+28+79.37</f>
        <v>223.37</v>
      </c>
      <c r="AF9" s="5"/>
      <c r="AG9" s="6">
        <f t="shared" si="0"/>
        <v>5889.8899999999994</v>
      </c>
    </row>
    <row r="10" spans="1:33" x14ac:dyDescent="0.25">
      <c r="A10" s="4" t="s">
        <v>9</v>
      </c>
      <c r="B10" s="5"/>
      <c r="C10" s="5"/>
      <c r="D10" s="5"/>
      <c r="E10" s="5">
        <v>45</v>
      </c>
      <c r="F10" s="5"/>
      <c r="G10" s="5">
        <f>220+165+150</f>
        <v>535</v>
      </c>
      <c r="H10" s="5">
        <v>30</v>
      </c>
      <c r="I10" s="5">
        <v>30</v>
      </c>
      <c r="J10" s="5">
        <f>75+30</f>
        <v>105</v>
      </c>
      <c r="K10" s="5">
        <v>60</v>
      </c>
      <c r="L10" s="5"/>
      <c r="M10" s="5"/>
      <c r="N10" s="5">
        <v>105</v>
      </c>
      <c r="O10" s="5"/>
      <c r="P10" s="5"/>
      <c r="Q10" s="5">
        <v>60</v>
      </c>
      <c r="R10" s="5"/>
      <c r="S10" s="5"/>
      <c r="T10" s="5">
        <f>1050+315</f>
        <v>1365</v>
      </c>
      <c r="U10" s="5">
        <v>30</v>
      </c>
      <c r="V10" s="5">
        <v>45</v>
      </c>
      <c r="W10" s="5">
        <f>60</f>
        <v>60</v>
      </c>
      <c r="X10" s="5">
        <v>60</v>
      </c>
      <c r="Y10" s="5"/>
      <c r="Z10" s="5">
        <v>105</v>
      </c>
      <c r="AA10" s="5">
        <v>75</v>
      </c>
      <c r="AB10" s="5"/>
      <c r="AC10" s="5">
        <v>150</v>
      </c>
      <c r="AD10" s="5">
        <v>75</v>
      </c>
      <c r="AE10" s="5">
        <v>240</v>
      </c>
      <c r="AF10" s="5"/>
      <c r="AG10" s="6">
        <f t="shared" si="0"/>
        <v>3175</v>
      </c>
    </row>
    <row r="11" spans="1:33" x14ac:dyDescent="0.25">
      <c r="A11" s="4" t="s">
        <v>10</v>
      </c>
      <c r="B11" s="5">
        <v>1118.5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v>3333.5</v>
      </c>
      <c r="O11" s="5"/>
      <c r="P11" s="5"/>
      <c r="Q11" s="5"/>
      <c r="R11" s="5"/>
      <c r="S11" s="5"/>
      <c r="T11" s="5"/>
      <c r="U11" s="5"/>
      <c r="V11" s="5"/>
      <c r="W11" s="5">
        <v>1627</v>
      </c>
      <c r="X11" s="5"/>
      <c r="Y11" s="5"/>
      <c r="Z11" s="5"/>
      <c r="AA11" s="5"/>
      <c r="AB11" s="5"/>
      <c r="AC11" s="5"/>
      <c r="AD11" s="5"/>
      <c r="AE11" s="5">
        <v>3206.5</v>
      </c>
      <c r="AF11" s="5"/>
      <c r="AG11" s="6">
        <f t="shared" si="0"/>
        <v>9285.5</v>
      </c>
    </row>
    <row r="12" spans="1:33" x14ac:dyDescent="0.25">
      <c r="A12" s="4" t="s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>
        <f t="shared" si="0"/>
        <v>0</v>
      </c>
    </row>
    <row r="13" spans="1:33" x14ac:dyDescent="0.25">
      <c r="A13" s="4" t="s">
        <v>12</v>
      </c>
      <c r="B13" s="5"/>
      <c r="C13" s="5"/>
      <c r="D13" s="5"/>
      <c r="E13" s="5"/>
      <c r="F13" s="5"/>
      <c r="G13" s="5"/>
      <c r="H13" s="5">
        <f>135.54+147.34</f>
        <v>282.88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>
        <f>147.53+135.49</f>
        <v>283.02</v>
      </c>
      <c r="W13" s="5"/>
      <c r="X13" s="5"/>
      <c r="Y13" s="5"/>
      <c r="Z13" s="5"/>
      <c r="AA13" s="5"/>
      <c r="AB13" s="5">
        <f>6440.69+73.2</f>
        <v>6513.8899999999994</v>
      </c>
      <c r="AC13" s="5"/>
      <c r="AD13" s="5"/>
      <c r="AE13" s="5"/>
      <c r="AF13" s="5"/>
      <c r="AG13" s="6">
        <f t="shared" si="0"/>
        <v>7079.7899999999991</v>
      </c>
    </row>
    <row r="14" spans="1:33" x14ac:dyDescent="0.25">
      <c r="A14" s="4" t="s">
        <v>13</v>
      </c>
      <c r="B14" s="5"/>
      <c r="C14" s="5"/>
      <c r="D14" s="5"/>
      <c r="E14" s="5"/>
      <c r="F14" s="5"/>
      <c r="G14" s="5">
        <v>2760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>
        <v>3680</v>
      </c>
      <c r="W14" s="5"/>
      <c r="X14" s="5"/>
      <c r="Y14" s="5"/>
      <c r="Z14" s="5"/>
      <c r="AA14" s="5"/>
      <c r="AB14" s="5"/>
      <c r="AC14" s="5"/>
      <c r="AD14" s="5"/>
      <c r="AE14" s="5">
        <v>0</v>
      </c>
      <c r="AF14" s="5"/>
      <c r="AG14" s="6">
        <f t="shared" si="0"/>
        <v>6440</v>
      </c>
    </row>
    <row r="15" spans="1:33" x14ac:dyDescent="0.25">
      <c r="A15" s="4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>
        <f>22792+13250</f>
        <v>36042</v>
      </c>
      <c r="AG15" s="6">
        <f t="shared" si="0"/>
        <v>36042</v>
      </c>
    </row>
    <row r="16" spans="1:33" x14ac:dyDescent="0.25">
      <c r="A16" s="4" t="s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v>728.8</v>
      </c>
      <c r="Q16" s="5"/>
      <c r="R16" s="5"/>
      <c r="S16" s="5"/>
      <c r="T16" s="5"/>
      <c r="U16" s="5"/>
      <c r="V16" s="5"/>
      <c r="W16" s="5"/>
      <c r="X16" s="5"/>
      <c r="Y16" s="5"/>
      <c r="Z16" s="5">
        <v>1508.8</v>
      </c>
      <c r="AA16" s="5"/>
      <c r="AB16" s="5"/>
      <c r="AC16" s="5"/>
      <c r="AD16" s="5">
        <v>180</v>
      </c>
      <c r="AE16" s="5">
        <v>2160</v>
      </c>
      <c r="AF16" s="5"/>
      <c r="AG16" s="6">
        <f t="shared" si="0"/>
        <v>4577.6000000000004</v>
      </c>
    </row>
    <row r="17" spans="1:33" x14ac:dyDescent="0.25">
      <c r="A17" s="4" t="s">
        <v>16</v>
      </c>
      <c r="B17" s="5">
        <f>10+200+65</f>
        <v>275</v>
      </c>
      <c r="C17" s="5"/>
      <c r="D17" s="5">
        <v>24</v>
      </c>
      <c r="E17" s="5">
        <f>46.5+81+14+12</f>
        <v>153.5</v>
      </c>
      <c r="F17" s="5"/>
      <c r="G17" s="5">
        <f>8+316+261.49</f>
        <v>585.49</v>
      </c>
      <c r="H17" s="5">
        <v>165</v>
      </c>
      <c r="I17" s="5">
        <f>16+368</f>
        <v>384</v>
      </c>
      <c r="J17" s="5">
        <f>18+8</f>
        <v>26</v>
      </c>
      <c r="K17" s="5">
        <f>682.1+915.33</f>
        <v>1597.43</v>
      </c>
      <c r="L17" s="5"/>
      <c r="M17" s="5"/>
      <c r="N17" s="5">
        <f>18.5+180</f>
        <v>198.5</v>
      </c>
      <c r="O17" s="5">
        <f>177.5+120</f>
        <v>297.5</v>
      </c>
      <c r="P17" s="5">
        <f>24+1180.75</f>
        <v>1204.75</v>
      </c>
      <c r="Q17" s="5">
        <f>30+30.6</f>
        <v>60.6</v>
      </c>
      <c r="R17" s="5"/>
      <c r="S17" s="5">
        <f>17.5+500+1319.74</f>
        <v>1837.24</v>
      </c>
      <c r="T17" s="5"/>
      <c r="U17" s="5">
        <f>14</f>
        <v>14</v>
      </c>
      <c r="V17" s="5"/>
      <c r="W17" s="5">
        <f>450+10</f>
        <v>460</v>
      </c>
      <c r="X17" s="5">
        <f>227.5+78</f>
        <v>305.5</v>
      </c>
      <c r="Y17" s="5">
        <f>10+30</f>
        <v>40</v>
      </c>
      <c r="Z17" s="5"/>
      <c r="AA17" s="5"/>
      <c r="AB17" s="5"/>
      <c r="AC17" s="5">
        <f>7+180</f>
        <v>187</v>
      </c>
      <c r="AD17" s="5">
        <v>300</v>
      </c>
      <c r="AE17" s="5">
        <f>200+557.3</f>
        <v>757.3</v>
      </c>
      <c r="AF17" s="5"/>
      <c r="AG17" s="6">
        <f t="shared" si="0"/>
        <v>8872.81</v>
      </c>
    </row>
    <row r="18" spans="1:33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>
        <f t="shared" si="0"/>
        <v>0</v>
      </c>
    </row>
    <row r="19" spans="1:33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8">
        <f>SUM(AG3:AG18)</f>
        <v>140723.51999999999</v>
      </c>
    </row>
    <row r="22" spans="1:33" x14ac:dyDescent="0.25">
      <c r="A22" s="1" t="s">
        <v>17</v>
      </c>
      <c r="B22" s="2">
        <v>42552</v>
      </c>
      <c r="C22" s="2">
        <v>42553</v>
      </c>
      <c r="D22" s="2">
        <v>42554</v>
      </c>
      <c r="E22" s="2">
        <v>42555</v>
      </c>
      <c r="F22" s="2">
        <v>42556</v>
      </c>
      <c r="G22" s="2">
        <v>42557</v>
      </c>
      <c r="H22" s="2">
        <v>42558</v>
      </c>
      <c r="I22" s="2">
        <v>42559</v>
      </c>
      <c r="J22" s="2">
        <v>42560</v>
      </c>
      <c r="K22" s="2">
        <v>42561</v>
      </c>
      <c r="L22" s="2">
        <v>42562</v>
      </c>
      <c r="M22" s="2">
        <v>42563</v>
      </c>
      <c r="N22" s="2">
        <v>42564</v>
      </c>
      <c r="O22" s="2">
        <v>42565</v>
      </c>
      <c r="P22" s="2">
        <v>42566</v>
      </c>
      <c r="Q22" s="2">
        <v>42567</v>
      </c>
      <c r="R22" s="2">
        <v>42568</v>
      </c>
      <c r="S22" s="2">
        <v>42569</v>
      </c>
      <c r="T22" s="2">
        <v>42570</v>
      </c>
      <c r="U22" s="2">
        <v>42571</v>
      </c>
      <c r="V22" s="2">
        <v>42572</v>
      </c>
      <c r="W22" s="2">
        <v>42573</v>
      </c>
      <c r="X22" s="2">
        <v>42574</v>
      </c>
      <c r="Y22" s="2">
        <v>42575</v>
      </c>
      <c r="Z22" s="2">
        <v>42576</v>
      </c>
      <c r="AA22" s="2">
        <v>42577</v>
      </c>
      <c r="AB22" s="2">
        <v>42578</v>
      </c>
      <c r="AC22" s="2">
        <v>42579</v>
      </c>
      <c r="AD22" s="2">
        <v>42580</v>
      </c>
      <c r="AE22" s="2">
        <v>42581</v>
      </c>
      <c r="AF22" s="2">
        <v>42582</v>
      </c>
      <c r="AG22" s="3" t="s">
        <v>1</v>
      </c>
    </row>
    <row r="23" spans="1:33" x14ac:dyDescent="0.25">
      <c r="A23" s="9" t="s">
        <v>43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29">
        <v>876806.69</v>
      </c>
    </row>
    <row r="24" spans="1:33" x14ac:dyDescent="0.25">
      <c r="A24" s="4" t="s">
        <v>19</v>
      </c>
      <c r="B24" s="5">
        <v>733.21</v>
      </c>
      <c r="C24" s="5">
        <f>460.27+823.65+460.27+1255.66</f>
        <v>2999.8500000000004</v>
      </c>
      <c r="D24" s="5"/>
      <c r="E24" s="5">
        <f>121.12+3545.57+144.96</f>
        <v>3811.65</v>
      </c>
      <c r="F24" s="5">
        <f>70.34+216.28</f>
        <v>286.62</v>
      </c>
      <c r="G24" s="5">
        <f>1301.68+1569.78+1241.61+600.11</f>
        <v>4713.1799999999994</v>
      </c>
      <c r="H24" s="5">
        <f>1732.08+248.3+121.12</f>
        <v>2101.5</v>
      </c>
      <c r="I24" s="5">
        <f>4.85</f>
        <v>4.8499999999999996</v>
      </c>
      <c r="J24" s="5">
        <f>733.21+105.52</f>
        <v>838.73</v>
      </c>
      <c r="K24" s="5">
        <f>436.05</f>
        <v>436.05</v>
      </c>
      <c r="L24" s="5"/>
      <c r="M24" s="5">
        <f>232.56+197.2+314.44+432.75</f>
        <v>1176.95</v>
      </c>
      <c r="N24" s="5"/>
      <c r="O24" s="5"/>
      <c r="P24" s="5"/>
      <c r="Q24" s="5">
        <f>938.3+4951.72+334.2+259.01+116.21</f>
        <v>6599.4400000000005</v>
      </c>
      <c r="R24" s="5">
        <f>1356.6+943.22+140+1122.82</f>
        <v>3562.6399999999994</v>
      </c>
      <c r="S24" s="5">
        <f>938.95+845+934.11</f>
        <v>2718.06</v>
      </c>
      <c r="T24" s="5">
        <f>763.86+117.78+898.11</f>
        <v>1779.75</v>
      </c>
      <c r="U24" s="5"/>
      <c r="V24" s="5"/>
      <c r="W24" s="5">
        <f>230+498.05</f>
        <v>728.05</v>
      </c>
      <c r="X24" s="5">
        <f>933.79</f>
        <v>933.79</v>
      </c>
      <c r="Y24" s="5"/>
      <c r="Z24" s="5"/>
      <c r="AA24" s="5">
        <v>600.78</v>
      </c>
      <c r="AB24" s="5">
        <f>1855.42+566.05</f>
        <v>2421.4700000000003</v>
      </c>
      <c r="AC24" s="5">
        <v>830.1</v>
      </c>
      <c r="AD24" s="5">
        <v>830.11</v>
      </c>
      <c r="AE24" s="5">
        <f>424.74+6691.54+733.21+297.71+385.34</f>
        <v>8532.5399999999991</v>
      </c>
      <c r="AF24" s="5"/>
      <c r="AG24" s="29">
        <f>SUM(B24:AF24)</f>
        <v>46639.32</v>
      </c>
    </row>
    <row r="25" spans="1:33" x14ac:dyDescent="0.25">
      <c r="A25" s="4" t="s">
        <v>20</v>
      </c>
      <c r="B25" s="5"/>
      <c r="C25" s="5"/>
      <c r="D25" s="5"/>
      <c r="E25" s="5">
        <f>7750+2500.3</f>
        <v>10250.299999999999</v>
      </c>
      <c r="F25" s="5"/>
      <c r="G25" s="5"/>
      <c r="H25" s="5">
        <v>1968</v>
      </c>
      <c r="I25" s="5"/>
      <c r="J25" s="5"/>
      <c r="K25" s="5"/>
      <c r="L25" s="5">
        <v>2324</v>
      </c>
      <c r="M25" s="5"/>
      <c r="N25" s="5"/>
      <c r="O25" s="5">
        <f>4290+15712.11</f>
        <v>20002.11</v>
      </c>
      <c r="P25" s="5"/>
      <c r="Q25" s="5"/>
      <c r="R25" s="5"/>
      <c r="S25" s="5">
        <v>2000</v>
      </c>
      <c r="T25" s="5">
        <v>5608</v>
      </c>
      <c r="U25" s="5">
        <v>5460</v>
      </c>
      <c r="V25" s="5"/>
      <c r="W25" s="5"/>
      <c r="X25" s="5"/>
      <c r="Y25" s="5"/>
      <c r="Z25" s="5">
        <f>5264+13885</f>
        <v>19149</v>
      </c>
      <c r="AA25" s="5">
        <f>10450+4680</f>
        <v>15130</v>
      </c>
      <c r="AB25" s="5"/>
      <c r="AC25" s="5"/>
      <c r="AD25" s="5">
        <v>4456</v>
      </c>
      <c r="AE25" s="5"/>
      <c r="AF25" s="5"/>
      <c r="AG25" s="29">
        <f>SUM(B25:AF25)</f>
        <v>86347.41</v>
      </c>
    </row>
    <row r="26" spans="1:33" x14ac:dyDescent="0.25">
      <c r="A26" s="4" t="s">
        <v>21</v>
      </c>
      <c r="B26" s="5"/>
      <c r="C26" s="5"/>
      <c r="D26" s="5"/>
      <c r="E26" s="5">
        <v>1864</v>
      </c>
      <c r="F26" s="5"/>
      <c r="G26" s="5"/>
      <c r="H26" s="5"/>
      <c r="I26" s="5">
        <v>152.6</v>
      </c>
      <c r="J26" s="5">
        <v>48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>
        <v>82</v>
      </c>
      <c r="AA26" s="5"/>
      <c r="AB26" s="5">
        <v>60.5</v>
      </c>
      <c r="AC26" s="5">
        <v>50</v>
      </c>
      <c r="AD26" s="5"/>
      <c r="AE26" s="5"/>
      <c r="AF26" s="5"/>
      <c r="AG26" s="13">
        <f>SUM(B26:AF26)</f>
        <v>2257.1</v>
      </c>
    </row>
    <row r="27" spans="1:33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30">
        <f>SUM(AG24:AG26)</f>
        <v>135243.83000000002</v>
      </c>
    </row>
    <row r="28" spans="1:33" x14ac:dyDescent="0.25">
      <c r="AG28" s="31"/>
    </row>
    <row r="29" spans="1:33" x14ac:dyDescent="0.25">
      <c r="A29" s="16" t="s">
        <v>22</v>
      </c>
      <c r="AG29" s="32">
        <f>AG27+AG23-AG19</f>
        <v>871327</v>
      </c>
    </row>
  </sheetData>
  <dataValidations count="1">
    <dataValidation allowBlank="1" showInputMessage="1" showErrorMessage="1" promptTitle="ATENÇÃO" prompt="No RDS a linha de UH's Alugadas soma o valor das cortesias do dia. Verifique se existe UH's Cortesia e SUBTRAIA o valor antes de preencher" sqref="B6:AA6"/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</vt:i4>
      </vt:variant>
    </vt:vector>
  </HeadingPairs>
  <TitlesOfParts>
    <vt:vector size="16" baseType="lpstr">
      <vt:lpstr>Planilha2</vt:lpstr>
      <vt:lpstr>Comparativo mensal</vt:lpstr>
      <vt:lpstr>01-2016</vt:lpstr>
      <vt:lpstr>02-2016</vt:lpstr>
      <vt:lpstr>03-2016</vt:lpstr>
      <vt:lpstr>04-2016</vt:lpstr>
      <vt:lpstr>05-2016</vt:lpstr>
      <vt:lpstr>06-2016</vt:lpstr>
      <vt:lpstr>07-2016</vt:lpstr>
      <vt:lpstr>08-2016</vt:lpstr>
      <vt:lpstr>09-2016</vt:lpstr>
      <vt:lpstr>10-2016</vt:lpstr>
      <vt:lpstr>11-2016</vt:lpstr>
      <vt:lpstr>12-2016</vt:lpstr>
      <vt:lpstr>01-2017</vt:lpstr>
      <vt:lpstr>TotMES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Domingos Junqueira</cp:lastModifiedBy>
  <dcterms:created xsi:type="dcterms:W3CDTF">2016-09-22T19:25:49Z</dcterms:created>
  <dcterms:modified xsi:type="dcterms:W3CDTF">2016-09-24T05:44:41Z</dcterms:modified>
</cp:coreProperties>
</file>